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updateLinks="always" codeName="ThisWorkbook" defaultThemeVersion="124226"/>
  <mc:AlternateContent xmlns:mc="http://schemas.openxmlformats.org/markup-compatibility/2006">
    <mc:Choice Requires="x15">
      <x15ac:absPath xmlns:x15ac="http://schemas.microsoft.com/office/spreadsheetml/2010/11/ac" url="C:\Users\bojan.paunovic\Desktop\Bojan NE diraj\izvrsenje budzeta\Izvjestaji\izvjestaji 2023\GDDS\Konsolidovani izvjestaji\q4\"/>
    </mc:Choice>
  </mc:AlternateContent>
  <xr:revisionPtr revIDLastSave="0" documentId="13_ncr:1_{DB3E16B3-CC72-402C-9931-7A3C2BE1F0B3}" xr6:coauthVersionLast="36" xr6:coauthVersionMax="36" xr10:uidLastSave="{00000000-0000-0000-0000-000000000000}"/>
  <workbookProtection workbookAlgorithmName="SHA-512" workbookHashValue="U0Zt6j3MJMiX083PeojI5Oir6JWHxlEDlMR+Z+pmAn5B5Y9btdZxnk4nGoLRhk2v/MuU3/84UU5jeSV30ev7fw==" workbookSaltValue="7mTQf/fELNkj/k3gvkzHUQ==" workbookSpinCount="100000" lockStructure="1"/>
  <bookViews>
    <workbookView xWindow="0" yWindow="0" windowWidth="19920" windowHeight="9525" xr2:uid="{00000000-000D-0000-FFFF-FFFF0000000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91029"/>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L63" i="44" l="1"/>
  <c r="L62" i="44"/>
  <c r="L61" i="44"/>
  <c r="L60" i="44"/>
  <c r="L59" i="44"/>
  <c r="L58" i="44"/>
  <c r="L57" i="44"/>
  <c r="L56" i="44"/>
  <c r="L55" i="44"/>
  <c r="L54" i="44"/>
  <c r="L53" i="44"/>
  <c r="L52" i="44"/>
  <c r="L51" i="44"/>
  <c r="L50" i="44"/>
  <c r="L49" i="44"/>
  <c r="L48" i="44"/>
  <c r="L47" i="44"/>
  <c r="L46" i="44"/>
  <c r="L45" i="44"/>
  <c r="L44" i="44"/>
  <c r="L43" i="44"/>
  <c r="L42" i="44"/>
  <c r="L41" i="44"/>
  <c r="L40" i="44"/>
  <c r="L39" i="44"/>
  <c r="L38" i="44"/>
  <c r="L37" i="44"/>
  <c r="L36" i="44"/>
  <c r="L35" i="44"/>
  <c r="L34" i="44"/>
  <c r="L33" i="44"/>
  <c r="L32" i="44"/>
  <c r="L31" i="44"/>
  <c r="L30" i="44"/>
  <c r="L29" i="44"/>
  <c r="L28" i="44"/>
  <c r="L27" i="44"/>
  <c r="L26" i="44"/>
  <c r="L25" i="44"/>
  <c r="L24" i="44"/>
  <c r="L23" i="44"/>
  <c r="L22" i="44"/>
  <c r="L21" i="44"/>
  <c r="L20" i="44"/>
  <c r="L19" i="44"/>
  <c r="L18" i="44"/>
  <c r="L17" i="44"/>
  <c r="L16" i="44"/>
  <c r="L15" i="44"/>
  <c r="L14" i="44"/>
  <c r="L13" i="44"/>
  <c r="L12" i="44"/>
  <c r="L11" i="44"/>
  <c r="L10" i="44"/>
  <c r="L9" i="44"/>
  <c r="L8" i="44"/>
  <c r="L7" i="44"/>
  <c r="L6" i="44"/>
  <c r="H63" i="44"/>
  <c r="H62" i="44"/>
  <c r="H61" i="44"/>
  <c r="H60" i="44"/>
  <c r="H59" i="44"/>
  <c r="H58" i="44"/>
  <c r="H57" i="44"/>
  <c r="H56" i="44"/>
  <c r="H55" i="44"/>
  <c r="H54" i="44"/>
  <c r="H53" i="44"/>
  <c r="H52" i="44"/>
  <c r="H51" i="44"/>
  <c r="H50" i="44"/>
  <c r="H49" i="44"/>
  <c r="H48" i="44"/>
  <c r="H47" i="44"/>
  <c r="H46" i="44"/>
  <c r="H45" i="44"/>
  <c r="H44" i="44"/>
  <c r="H43" i="44"/>
  <c r="H42" i="44"/>
  <c r="H41" i="44"/>
  <c r="H40" i="44"/>
  <c r="H39" i="44"/>
  <c r="H38" i="44"/>
  <c r="H37" i="44"/>
  <c r="H36" i="44"/>
  <c r="H35" i="44"/>
  <c r="H34" i="44"/>
  <c r="H33" i="44"/>
  <c r="H32" i="44"/>
  <c r="H31" i="44"/>
  <c r="H30" i="44"/>
  <c r="H29" i="44"/>
  <c r="H28" i="44"/>
  <c r="H27" i="44"/>
  <c r="H26" i="44"/>
  <c r="H25" i="44"/>
  <c r="H24" i="44"/>
  <c r="H23" i="44"/>
  <c r="H22" i="44"/>
  <c r="H21" i="44"/>
  <c r="H20" i="44"/>
  <c r="H19" i="44"/>
  <c r="H18" i="44"/>
  <c r="H17" i="44"/>
  <c r="H16" i="44"/>
  <c r="H15" i="44"/>
  <c r="H14" i="44"/>
  <c r="H13" i="44"/>
  <c r="H12" i="44"/>
  <c r="H11" i="44"/>
  <c r="H10" i="44"/>
  <c r="H9" i="44"/>
  <c r="H8" i="44"/>
  <c r="H7" i="44"/>
  <c r="H6" i="44"/>
  <c r="L73" i="43"/>
  <c r="L72" i="43"/>
  <c r="L71" i="43"/>
  <c r="L70" i="43"/>
  <c r="L69" i="43"/>
  <c r="L68" i="43"/>
  <c r="L67" i="43"/>
  <c r="L66" i="43"/>
  <c r="L65" i="43"/>
  <c r="L64" i="43"/>
  <c r="L63" i="43"/>
  <c r="L62" i="43"/>
  <c r="L61" i="43"/>
  <c r="L60" i="43"/>
  <c r="L59" i="43"/>
  <c r="L58" i="43"/>
  <c r="L57" i="43"/>
  <c r="L56" i="43"/>
  <c r="L55" i="43"/>
  <c r="L54" i="43"/>
  <c r="L53" i="43"/>
  <c r="L52" i="43"/>
  <c r="L51" i="43"/>
  <c r="L50" i="43"/>
  <c r="L49" i="43"/>
  <c r="L48" i="43"/>
  <c r="L47" i="43"/>
  <c r="L46" i="43"/>
  <c r="L45" i="43"/>
  <c r="L44" i="43"/>
  <c r="L43" i="43"/>
  <c r="L42" i="43"/>
  <c r="L41" i="43"/>
  <c r="L40" i="43"/>
  <c r="L39" i="43"/>
  <c r="L38" i="43"/>
  <c r="L37" i="43"/>
  <c r="L36" i="43"/>
  <c r="L35" i="43"/>
  <c r="L34" i="43"/>
  <c r="L33" i="43"/>
  <c r="L32" i="43"/>
  <c r="L31" i="43"/>
  <c r="L30" i="43"/>
  <c r="L29" i="43"/>
  <c r="L28" i="43"/>
  <c r="L27" i="43"/>
  <c r="L26" i="43"/>
  <c r="L25" i="43"/>
  <c r="L24" i="43"/>
  <c r="L23" i="43"/>
  <c r="L22" i="43"/>
  <c r="L21" i="43"/>
  <c r="L20" i="43"/>
  <c r="L19" i="43"/>
  <c r="L18" i="43"/>
  <c r="L17" i="43"/>
  <c r="L16" i="43"/>
  <c r="L15" i="43"/>
  <c r="L14" i="43"/>
  <c r="L13" i="43"/>
  <c r="L12" i="43"/>
  <c r="L11" i="43"/>
  <c r="L10" i="43"/>
  <c r="L9" i="43"/>
  <c r="L8" i="43"/>
  <c r="L7" i="43"/>
  <c r="L6"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 r="H8" i="43"/>
  <c r="H7" i="43"/>
  <c r="H6" i="43"/>
  <c r="H35" i="43"/>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9" i="10"/>
  <c r="H8" i="10"/>
  <c r="H7" i="10"/>
  <c r="H6" i="10"/>
  <c r="H10" i="10"/>
  <c r="C20" i="10" l="1"/>
  <c r="J24" i="43" l="1"/>
  <c r="K24" i="43"/>
  <c r="E12" i="43" l="1"/>
  <c r="C12" i="43"/>
  <c r="I67" i="10" l="1"/>
  <c r="I55" i="44" l="1"/>
  <c r="J55" i="44" s="1"/>
  <c r="E55" i="44"/>
  <c r="C55" i="44"/>
  <c r="K65" i="43"/>
  <c r="G65" i="43"/>
  <c r="K71" i="10"/>
  <c r="F71" i="10"/>
  <c r="G71" i="10"/>
  <c r="D71" i="10"/>
  <c r="G55" i="44" l="1"/>
  <c r="K55" i="44"/>
  <c r="K71" i="43"/>
  <c r="G71" i="43"/>
  <c r="I61" i="44"/>
  <c r="J61" i="44" s="1"/>
  <c r="E61" i="44"/>
  <c r="C61" i="44"/>
  <c r="I2" i="43"/>
  <c r="E2" i="43"/>
  <c r="F24" i="43" s="1"/>
  <c r="C2" i="43"/>
  <c r="D25" i="43" l="1"/>
  <c r="D22" i="43"/>
  <c r="D23" i="43"/>
  <c r="J71" i="43"/>
  <c r="J65" i="43"/>
  <c r="F71" i="43"/>
  <c r="F65" i="43"/>
  <c r="D71" i="43"/>
  <c r="D65" i="43"/>
  <c r="K61" i="44"/>
  <c r="G61" i="44"/>
  <c r="K77" i="10" l="1"/>
  <c r="G77" i="10"/>
  <c r="F77" i="10"/>
  <c r="D77" i="10"/>
  <c r="E67" i="10" l="1"/>
  <c r="C67" i="10" l="1"/>
  <c r="D68" i="10" l="1"/>
  <c r="F68" i="10"/>
  <c r="I43" i="44" l="1"/>
  <c r="I38" i="43" l="1"/>
  <c r="I37" i="43" s="1"/>
  <c r="C38" i="43"/>
  <c r="C37" i="43" s="1"/>
  <c r="E38" i="43"/>
  <c r="E37" i="43" s="1"/>
  <c r="I53" i="44" l="1"/>
  <c r="I60" i="43"/>
  <c r="E60" i="43" l="1"/>
  <c r="C60" i="43"/>
  <c r="C51" i="44"/>
  <c r="E43" i="44"/>
  <c r="C43" i="44"/>
  <c r="F56" i="43" l="1"/>
  <c r="I12" i="43"/>
  <c r="K68" i="10" l="1"/>
  <c r="K69" i="10"/>
  <c r="C8" i="44" l="1"/>
  <c r="I54" i="44" l="1"/>
  <c r="E54" i="44"/>
  <c r="C54" i="44"/>
  <c r="C7" i="10" l="1"/>
  <c r="C15" i="10"/>
  <c r="E2" i="44" l="1"/>
  <c r="C2" i="44"/>
  <c r="J63" i="43"/>
  <c r="D56" i="43"/>
  <c r="F61" i="44" l="1"/>
  <c r="F55" i="44"/>
  <c r="D61" i="44"/>
  <c r="D55" i="44"/>
  <c r="F17" i="46"/>
  <c r="I17" i="46" s="1"/>
  <c r="G15" i="46"/>
  <c r="G19" i="46" s="1"/>
  <c r="F15" i="46"/>
  <c r="F19" i="46" s="1"/>
  <c r="I19" i="46" s="1"/>
  <c r="D15" i="46"/>
  <c r="D19" i="46" s="1"/>
  <c r="C15" i="46"/>
  <c r="C19" i="46" s="1"/>
  <c r="F13" i="46"/>
  <c r="I13" i="46" s="1"/>
  <c r="J11" i="46"/>
  <c r="G11" i="46"/>
  <c r="J15" i="46" s="1"/>
  <c r="J19" i="46" s="1"/>
  <c r="F11" i="46"/>
  <c r="I15" i="46" s="1"/>
  <c r="F9" i="46"/>
  <c r="I9" i="46" s="1"/>
  <c r="I11" i="46" l="1"/>
  <c r="I62" i="44"/>
  <c r="J62" i="44" s="1"/>
  <c r="E62" i="44"/>
  <c r="F62" i="44" s="1"/>
  <c r="C62" i="44"/>
  <c r="D62" i="44" s="1"/>
  <c r="I60" i="44"/>
  <c r="E60" i="44"/>
  <c r="F60" i="44" s="1"/>
  <c r="C60" i="44"/>
  <c r="I59" i="44"/>
  <c r="J59" i="44" s="1"/>
  <c r="I58" i="44"/>
  <c r="J58" i="44" s="1"/>
  <c r="E59" i="44"/>
  <c r="E58" i="44"/>
  <c r="F58" i="44" s="1"/>
  <c r="C59" i="44"/>
  <c r="C58" i="44"/>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K54" i="44"/>
  <c r="J54" i="44"/>
  <c r="G54" i="44"/>
  <c r="F54" i="44"/>
  <c r="D54" i="44"/>
  <c r="D58" i="44" l="1"/>
  <c r="D20" i="44"/>
  <c r="G20" i="44"/>
  <c r="G14" i="44"/>
  <c r="K35" i="44"/>
  <c r="G39" i="44"/>
  <c r="G10" i="44"/>
  <c r="K60" i="44"/>
  <c r="K32" i="44"/>
  <c r="D15" i="44"/>
  <c r="G51" i="44"/>
  <c r="K15" i="44"/>
  <c r="K43" i="44"/>
  <c r="K31" i="44"/>
  <c r="D35" i="44"/>
  <c r="J20" i="44"/>
  <c r="K20" i="44"/>
  <c r="J13" i="44"/>
  <c r="F20" i="44"/>
  <c r="G13" i="44"/>
  <c r="K13" i="44"/>
  <c r="K51" i="44"/>
  <c r="K26" i="44"/>
  <c r="K62" i="44"/>
  <c r="D39" i="44"/>
  <c r="K21" i="44"/>
  <c r="J8" i="44"/>
  <c r="J12" i="44"/>
  <c r="G60" i="44"/>
  <c r="G9" i="44"/>
  <c r="G12" i="44"/>
  <c r="G8" i="44"/>
  <c r="G36" i="44"/>
  <c r="G62" i="44"/>
  <c r="K9" i="44"/>
  <c r="G32" i="44"/>
  <c r="D60" i="44"/>
  <c r="K29" i="44"/>
  <c r="J32" i="44"/>
  <c r="J15" i="44"/>
  <c r="F51" i="44"/>
  <c r="G31" i="44"/>
  <c r="F10" i="44"/>
  <c r="K59" i="44"/>
  <c r="D59" i="44"/>
  <c r="K10" i="44"/>
  <c r="D10" i="44"/>
  <c r="J60" i="44"/>
  <c r="J36" i="44"/>
  <c r="K36" i="44"/>
  <c r="D33" i="44"/>
  <c r="D37" i="44"/>
  <c r="G35" i="44"/>
  <c r="K33" i="44"/>
  <c r="K37" i="44"/>
  <c r="G44" i="44"/>
  <c r="K44" i="44"/>
  <c r="K39" i="44"/>
  <c r="I17" i="44"/>
  <c r="J17" i="44" s="1"/>
  <c r="K14" i="44"/>
  <c r="K8" i="44"/>
  <c r="K12" i="44"/>
  <c r="J11" i="44"/>
  <c r="K16" i="44"/>
  <c r="K11" i="44"/>
  <c r="E50" i="44"/>
  <c r="F50" i="44" s="1"/>
  <c r="F35" i="44"/>
  <c r="G21" i="44"/>
  <c r="K58" i="44"/>
  <c r="G59" i="44"/>
  <c r="K46" i="44"/>
  <c r="K34" i="44"/>
  <c r="G29" i="44"/>
  <c r="K30" i="44"/>
  <c r="D26" i="44"/>
  <c r="D19" i="44"/>
  <c r="D14" i="44"/>
  <c r="G11" i="44"/>
  <c r="D11" i="44"/>
  <c r="C7" i="44"/>
  <c r="D7" i="44" s="1"/>
  <c r="D9" i="44"/>
  <c r="F59" i="44"/>
  <c r="G58" i="44"/>
  <c r="J53" i="44"/>
  <c r="K53" i="44"/>
  <c r="F53" i="44"/>
  <c r="G53" i="44"/>
  <c r="D53" i="44"/>
  <c r="C50" i="44"/>
  <c r="I50" i="44"/>
  <c r="J50" i="44" s="1"/>
  <c r="K52" i="44"/>
  <c r="G52" i="44"/>
  <c r="J46" i="44"/>
  <c r="G46" i="44"/>
  <c r="J43" i="44"/>
  <c r="G43" i="44"/>
  <c r="G42" i="44"/>
  <c r="K42" i="44"/>
  <c r="K41" i="44"/>
  <c r="G41" i="44"/>
  <c r="K40" i="44"/>
  <c r="J40" i="44"/>
  <c r="G40" i="44"/>
  <c r="I28" i="44"/>
  <c r="E28" i="44"/>
  <c r="F28" i="44" s="1"/>
  <c r="G30" i="44"/>
  <c r="G34" i="44"/>
  <c r="G33" i="44"/>
  <c r="G37" i="44"/>
  <c r="C28" i="44"/>
  <c r="D28" i="44" s="1"/>
  <c r="F26" i="44"/>
  <c r="G26" i="44"/>
  <c r="D25" i="44"/>
  <c r="K25" i="44"/>
  <c r="G25" i="44"/>
  <c r="E17" i="44"/>
  <c r="F17" i="44" s="1"/>
  <c r="G19" i="44"/>
  <c r="K19" i="44"/>
  <c r="C17" i="44"/>
  <c r="D17" i="44" s="1"/>
  <c r="K18" i="44"/>
  <c r="G18" i="44"/>
  <c r="I7" i="44"/>
  <c r="F16" i="44"/>
  <c r="G16" i="44"/>
  <c r="G15" i="44"/>
  <c r="E7" i="44"/>
  <c r="K50" i="44" l="1"/>
  <c r="G50" i="44"/>
  <c r="K28" i="44"/>
  <c r="J28" i="44"/>
  <c r="D50" i="44"/>
  <c r="G28" i="44"/>
  <c r="G17" i="44"/>
  <c r="K17" i="44"/>
  <c r="J7" i="44"/>
  <c r="K7" i="44"/>
  <c r="G7" i="44"/>
  <c r="F7" i="44"/>
  <c r="J72" i="43" l="1"/>
  <c r="K72" i="43"/>
  <c r="F72" i="43"/>
  <c r="G72" i="43"/>
  <c r="D72" i="43"/>
  <c r="J25" i="43"/>
  <c r="K25" i="43"/>
  <c r="J26" i="43"/>
  <c r="K26" i="43"/>
  <c r="J27" i="43"/>
  <c r="K27" i="43"/>
  <c r="G25" i="43"/>
  <c r="G26" i="43"/>
  <c r="G27" i="43"/>
  <c r="F25" i="43"/>
  <c r="F26" i="43"/>
  <c r="F27" i="43"/>
  <c r="F28" i="43"/>
  <c r="F29" i="43"/>
  <c r="D26" i="43"/>
  <c r="D27" i="43"/>
  <c r="D28" i="43"/>
  <c r="D29" i="43"/>
  <c r="J16" i="43"/>
  <c r="K16" i="43"/>
  <c r="J17" i="43"/>
  <c r="K17" i="43"/>
  <c r="F16" i="43"/>
  <c r="G16" i="43"/>
  <c r="F17" i="43"/>
  <c r="G17" i="43"/>
  <c r="D16" i="43"/>
  <c r="D17" i="43"/>
  <c r="J60" i="43"/>
  <c r="F60" i="43"/>
  <c r="J9" i="43"/>
  <c r="K9" i="43"/>
  <c r="G9" i="43"/>
  <c r="F9" i="43"/>
  <c r="D9" i="43"/>
  <c r="K70" i="43"/>
  <c r="J70" i="43"/>
  <c r="G70" i="43"/>
  <c r="F70" i="43"/>
  <c r="D70" i="43"/>
  <c r="K69" i="43"/>
  <c r="J69" i="43"/>
  <c r="G69" i="43"/>
  <c r="F69" i="43"/>
  <c r="D69" i="43"/>
  <c r="K68" i="43"/>
  <c r="J68" i="43"/>
  <c r="G68" i="43"/>
  <c r="F68" i="43"/>
  <c r="D68" i="43"/>
  <c r="K64" i="43"/>
  <c r="J64" i="43"/>
  <c r="G64" i="43"/>
  <c r="F64" i="43"/>
  <c r="D64" i="43"/>
  <c r="K62" i="43"/>
  <c r="J62" i="43"/>
  <c r="G62" i="43"/>
  <c r="F62" i="43"/>
  <c r="D62" i="43"/>
  <c r="K61" i="43"/>
  <c r="J61" i="43"/>
  <c r="G61" i="43"/>
  <c r="F61" i="43"/>
  <c r="D61" i="43"/>
  <c r="K56" i="43"/>
  <c r="J56" i="43"/>
  <c r="G56" i="43"/>
  <c r="K54" i="43"/>
  <c r="J54" i="43"/>
  <c r="G54" i="43"/>
  <c r="F54" i="43"/>
  <c r="D54" i="43"/>
  <c r="K53" i="43"/>
  <c r="G53" i="43"/>
  <c r="F53" i="43"/>
  <c r="D53" i="43"/>
  <c r="K52" i="43"/>
  <c r="J52" i="43"/>
  <c r="G52" i="43"/>
  <c r="F52" i="43"/>
  <c r="D52" i="43"/>
  <c r="K51" i="43"/>
  <c r="J51" i="43"/>
  <c r="G51" i="43"/>
  <c r="F51" i="43"/>
  <c r="D51" i="43"/>
  <c r="K50" i="43"/>
  <c r="J50" i="43"/>
  <c r="G50" i="43"/>
  <c r="F50" i="43"/>
  <c r="D50" i="43"/>
  <c r="K49" i="43"/>
  <c r="J49" i="43"/>
  <c r="G49" i="43"/>
  <c r="F49" i="43"/>
  <c r="D49" i="43"/>
  <c r="J48" i="43"/>
  <c r="F48" i="43"/>
  <c r="D48" i="43"/>
  <c r="K47" i="43"/>
  <c r="J47" i="43"/>
  <c r="G47" i="43"/>
  <c r="F47" i="43"/>
  <c r="D47" i="43"/>
  <c r="K46" i="43"/>
  <c r="J46" i="43"/>
  <c r="G46" i="43"/>
  <c r="F46" i="43"/>
  <c r="D46" i="43"/>
  <c r="K45" i="43"/>
  <c r="J45" i="43"/>
  <c r="G45" i="43"/>
  <c r="F45" i="43"/>
  <c r="D45" i="43"/>
  <c r="K44" i="43"/>
  <c r="J44" i="43"/>
  <c r="G44" i="43"/>
  <c r="F44" i="43"/>
  <c r="D44" i="43"/>
  <c r="K43" i="43"/>
  <c r="J43" i="43"/>
  <c r="G43" i="43"/>
  <c r="F43" i="43"/>
  <c r="D43" i="43"/>
  <c r="K42" i="43"/>
  <c r="J42" i="43"/>
  <c r="G42" i="43"/>
  <c r="F42" i="43"/>
  <c r="D42" i="43"/>
  <c r="K41" i="43"/>
  <c r="J41" i="43"/>
  <c r="G41" i="43"/>
  <c r="F41" i="43"/>
  <c r="D41" i="43"/>
  <c r="K40" i="43"/>
  <c r="J40" i="43"/>
  <c r="G40" i="43"/>
  <c r="F40" i="43"/>
  <c r="D40" i="43"/>
  <c r="K39" i="43"/>
  <c r="J39" i="43"/>
  <c r="G39" i="43"/>
  <c r="F39" i="43"/>
  <c r="D39" i="43"/>
  <c r="K36" i="43"/>
  <c r="J36" i="43"/>
  <c r="G36" i="43"/>
  <c r="F36" i="43"/>
  <c r="D36" i="43"/>
  <c r="K35" i="43"/>
  <c r="J35" i="43"/>
  <c r="G35" i="43"/>
  <c r="F35" i="43"/>
  <c r="D35" i="43"/>
  <c r="K34" i="43"/>
  <c r="J34" i="43"/>
  <c r="G34" i="43"/>
  <c r="F34" i="43"/>
  <c r="D34" i="43"/>
  <c r="K33" i="43"/>
  <c r="J33" i="43"/>
  <c r="G33" i="43"/>
  <c r="F33" i="43"/>
  <c r="D33" i="43"/>
  <c r="K32" i="43"/>
  <c r="J32" i="43"/>
  <c r="G32" i="43"/>
  <c r="F32" i="43"/>
  <c r="D32" i="43"/>
  <c r="K31" i="43"/>
  <c r="J31" i="43"/>
  <c r="G31" i="43"/>
  <c r="F31" i="43"/>
  <c r="D31" i="43"/>
  <c r="I30" i="43"/>
  <c r="J30" i="43" s="1"/>
  <c r="E30" i="43"/>
  <c r="F30" i="43" s="1"/>
  <c r="C30" i="43"/>
  <c r="K29" i="43"/>
  <c r="J29" i="43"/>
  <c r="G29" i="43"/>
  <c r="K28" i="43"/>
  <c r="J28" i="43"/>
  <c r="G28" i="43"/>
  <c r="K23" i="43"/>
  <c r="J23" i="43"/>
  <c r="G23" i="43"/>
  <c r="F23" i="43"/>
  <c r="K22" i="43"/>
  <c r="J22" i="43"/>
  <c r="G22" i="43"/>
  <c r="F22" i="43"/>
  <c r="K21" i="43"/>
  <c r="J21" i="43"/>
  <c r="G21" i="43"/>
  <c r="F21" i="43"/>
  <c r="D21" i="43"/>
  <c r="K20" i="43"/>
  <c r="J20" i="43"/>
  <c r="G20" i="43"/>
  <c r="F20" i="43"/>
  <c r="D20" i="43"/>
  <c r="I19" i="43"/>
  <c r="J19" i="43" s="1"/>
  <c r="E19" i="43"/>
  <c r="F19" i="43" s="1"/>
  <c r="C19" i="43"/>
  <c r="K18" i="43"/>
  <c r="J18" i="43"/>
  <c r="G18" i="43"/>
  <c r="F18" i="43"/>
  <c r="D18" i="43"/>
  <c r="K15" i="43"/>
  <c r="J15" i="43"/>
  <c r="G15" i="43"/>
  <c r="F15" i="43"/>
  <c r="D15" i="43"/>
  <c r="K14" i="43"/>
  <c r="J14" i="43"/>
  <c r="G14" i="43"/>
  <c r="F14" i="43"/>
  <c r="D14" i="43"/>
  <c r="K13" i="43"/>
  <c r="J13" i="43"/>
  <c r="G13" i="43"/>
  <c r="F13" i="43"/>
  <c r="D13" i="43"/>
  <c r="J12" i="43"/>
  <c r="F12" i="43"/>
  <c r="D12" i="43"/>
  <c r="K11" i="43"/>
  <c r="J11" i="43"/>
  <c r="G11" i="43"/>
  <c r="F11" i="43"/>
  <c r="D11" i="43"/>
  <c r="K10" i="43"/>
  <c r="J10" i="43"/>
  <c r="G10" i="43"/>
  <c r="F10" i="43"/>
  <c r="D10" i="43"/>
  <c r="K8" i="43"/>
  <c r="J8" i="43"/>
  <c r="G8" i="43"/>
  <c r="F8" i="43"/>
  <c r="D8" i="43"/>
  <c r="I7" i="43"/>
  <c r="E7" i="43"/>
  <c r="C7" i="43"/>
  <c r="K7" i="43" l="1"/>
  <c r="C6" i="43"/>
  <c r="C55" i="43" s="1"/>
  <c r="E6" i="43"/>
  <c r="F14" i="46"/>
  <c r="I6" i="43"/>
  <c r="I55" i="43" s="1"/>
  <c r="K30" i="43"/>
  <c r="K38" i="43"/>
  <c r="K19" i="43"/>
  <c r="K48" i="43"/>
  <c r="G30" i="43"/>
  <c r="K12" i="43"/>
  <c r="G19" i="43"/>
  <c r="D38" i="43"/>
  <c r="F7" i="43"/>
  <c r="J37" i="43"/>
  <c r="J38" i="43"/>
  <c r="G48" i="43"/>
  <c r="D19" i="43"/>
  <c r="J7" i="43"/>
  <c r="D30" i="43"/>
  <c r="F37" i="43"/>
  <c r="F38" i="43"/>
  <c r="G7" i="43"/>
  <c r="G60" i="43"/>
  <c r="K60" i="43"/>
  <c r="D7" i="43"/>
  <c r="G12" i="43"/>
  <c r="G38" i="43"/>
  <c r="D60" i="43"/>
  <c r="K74" i="10"/>
  <c r="K75" i="10"/>
  <c r="K76" i="10"/>
  <c r="G74" i="10"/>
  <c r="G75" i="10"/>
  <c r="G76" i="10"/>
  <c r="F74" i="10"/>
  <c r="F75" i="10"/>
  <c r="F76" i="10"/>
  <c r="D74" i="10"/>
  <c r="D75" i="10"/>
  <c r="D76" i="10"/>
  <c r="J6" i="43" l="1"/>
  <c r="I59" i="43"/>
  <c r="J59" i="43" s="1"/>
  <c r="F6" i="43"/>
  <c r="E59" i="43"/>
  <c r="F59" i="43" s="1"/>
  <c r="F10" i="46"/>
  <c r="C59" i="43"/>
  <c r="D37" i="43"/>
  <c r="G6" i="43"/>
  <c r="D6" i="43"/>
  <c r="G10" i="46" s="1"/>
  <c r="K6" i="43"/>
  <c r="G37" i="43"/>
  <c r="E55" i="43"/>
  <c r="K37" i="43"/>
  <c r="K70" i="10"/>
  <c r="G68" i="10"/>
  <c r="G69" i="10"/>
  <c r="G70" i="10"/>
  <c r="F69" i="10"/>
  <c r="F70" i="10"/>
  <c r="D69" i="10"/>
  <c r="D70" i="10"/>
  <c r="K63" i="10"/>
  <c r="G63" i="10"/>
  <c r="F63" i="10"/>
  <c r="D63" i="10"/>
  <c r="K41" i="10"/>
  <c r="K42" i="10"/>
  <c r="K43" i="10"/>
  <c r="K44" i="10"/>
  <c r="K45" i="10"/>
  <c r="K46" i="10"/>
  <c r="K47" i="10"/>
  <c r="K48" i="10"/>
  <c r="K49" i="10"/>
  <c r="K51" i="10"/>
  <c r="K52" i="10"/>
  <c r="K53" i="10"/>
  <c r="K54" i="10"/>
  <c r="K55" i="10"/>
  <c r="K56" i="10"/>
  <c r="K57" i="10"/>
  <c r="K58" i="10"/>
  <c r="K59" i="10"/>
  <c r="K60" i="10"/>
  <c r="K61" i="10"/>
  <c r="I50" i="10"/>
  <c r="I40"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I32" i="10"/>
  <c r="I25" i="10"/>
  <c r="I20" i="10"/>
  <c r="I15" i="10"/>
  <c r="I7"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F18" i="46" l="1"/>
  <c r="G14" i="46"/>
  <c r="C39" i="10"/>
  <c r="C22" i="44"/>
  <c r="D22" i="44" s="1"/>
  <c r="C6" i="10"/>
  <c r="F7" i="10"/>
  <c r="E6" i="10"/>
  <c r="I38" i="44"/>
  <c r="I24" i="44"/>
  <c r="J24" i="44" s="1"/>
  <c r="I23" i="44"/>
  <c r="J23" i="44" s="1"/>
  <c r="I22" i="44"/>
  <c r="F67" i="10"/>
  <c r="E39" i="10"/>
  <c r="F39" i="10" s="1"/>
  <c r="F50" i="10"/>
  <c r="E38" i="44"/>
  <c r="F40" i="10"/>
  <c r="F32" i="10"/>
  <c r="E24" i="44"/>
  <c r="F24" i="44" s="1"/>
  <c r="F25" i="10"/>
  <c r="E23" i="44"/>
  <c r="F23" i="44" s="1"/>
  <c r="F20" i="10"/>
  <c r="E22" i="44"/>
  <c r="C27" i="44"/>
  <c r="D38" i="44"/>
  <c r="D24" i="44"/>
  <c r="D25" i="10"/>
  <c r="C23" i="44"/>
  <c r="E57" i="43"/>
  <c r="E66" i="43" s="1"/>
  <c r="F55" i="43"/>
  <c r="D59" i="43"/>
  <c r="K59" i="43"/>
  <c r="G59" i="43"/>
  <c r="I57" i="43"/>
  <c r="I66" i="43" s="1"/>
  <c r="J55" i="43"/>
  <c r="K55" i="43"/>
  <c r="G55" i="43"/>
  <c r="C57" i="43"/>
  <c r="C66" i="43" s="1"/>
  <c r="C73" i="43" s="1"/>
  <c r="C67" i="43" s="1"/>
  <c r="D55" i="43"/>
  <c r="G18" i="46" s="1"/>
  <c r="K40" i="10"/>
  <c r="D67" i="10"/>
  <c r="K50" i="10"/>
  <c r="G40" i="10"/>
  <c r="G67" i="10"/>
  <c r="K67" i="10"/>
  <c r="G50" i="10"/>
  <c r="D40" i="10"/>
  <c r="D50" i="10"/>
  <c r="I39" i="10"/>
  <c r="K20" i="10"/>
  <c r="D20" i="10"/>
  <c r="G25" i="10"/>
  <c r="G20" i="10"/>
  <c r="I6" i="10"/>
  <c r="K25" i="10"/>
  <c r="G32" i="10"/>
  <c r="D32" i="10"/>
  <c r="G15" i="10"/>
  <c r="G7" i="10"/>
  <c r="K32" i="10"/>
  <c r="D15" i="10"/>
  <c r="D7" i="10"/>
  <c r="K15" i="10"/>
  <c r="K7" i="10"/>
  <c r="C66" i="10" l="1"/>
  <c r="I66" i="10"/>
  <c r="F6" i="10"/>
  <c r="E66" i="10"/>
  <c r="F66" i="10" s="1"/>
  <c r="C6" i="44"/>
  <c r="C10" i="46"/>
  <c r="C62" i="10"/>
  <c r="K24" i="44"/>
  <c r="J38" i="44"/>
  <c r="I27" i="44"/>
  <c r="J27" i="44" s="1"/>
  <c r="K38" i="44"/>
  <c r="J22" i="44"/>
  <c r="I6" i="44"/>
  <c r="K22" i="44"/>
  <c r="F38" i="44"/>
  <c r="E27" i="44"/>
  <c r="F27" i="44" s="1"/>
  <c r="G38" i="44"/>
  <c r="G24" i="44"/>
  <c r="F22" i="44"/>
  <c r="E6" i="44"/>
  <c r="G22" i="44"/>
  <c r="C14" i="46"/>
  <c r="I14" i="46"/>
  <c r="D27" i="44"/>
  <c r="J14" i="46" s="1"/>
  <c r="D23" i="44"/>
  <c r="K23" i="44"/>
  <c r="G23" i="44"/>
  <c r="C58" i="43"/>
  <c r="K57" i="43"/>
  <c r="G57" i="43"/>
  <c r="D57" i="43"/>
  <c r="I73" i="43"/>
  <c r="I67" i="43" s="1"/>
  <c r="J57" i="43"/>
  <c r="I58" i="43"/>
  <c r="J58" i="43" s="1"/>
  <c r="E73" i="43"/>
  <c r="E67" i="43" s="1"/>
  <c r="F57" i="43"/>
  <c r="E58" i="43"/>
  <c r="F58" i="43" s="1"/>
  <c r="E62" i="10"/>
  <c r="K39" i="10"/>
  <c r="D39" i="10"/>
  <c r="D14" i="46" s="1"/>
  <c r="G39" i="10"/>
  <c r="I62" i="10"/>
  <c r="K6" i="10"/>
  <c r="D6" i="10"/>
  <c r="D10" i="46" s="1"/>
  <c r="G6" i="10"/>
  <c r="C64" i="10" l="1"/>
  <c r="C72" i="10" s="1"/>
  <c r="C78" i="10" s="1"/>
  <c r="D6" i="44"/>
  <c r="J10" i="46" s="1"/>
  <c r="E49" i="44"/>
  <c r="F49" i="44" s="1"/>
  <c r="K66" i="10"/>
  <c r="I49" i="44"/>
  <c r="J49" i="44" s="1"/>
  <c r="G66" i="10"/>
  <c r="G6" i="44"/>
  <c r="C49" i="44"/>
  <c r="D49" i="44" s="1"/>
  <c r="I10" i="46"/>
  <c r="C45" i="44"/>
  <c r="K6" i="44"/>
  <c r="G27" i="44"/>
  <c r="C18" i="46"/>
  <c r="K27" i="44"/>
  <c r="J6" i="44"/>
  <c r="I45" i="44"/>
  <c r="F6" i="44"/>
  <c r="E45" i="44"/>
  <c r="J66" i="43"/>
  <c r="F66" i="43"/>
  <c r="D66" i="43"/>
  <c r="K66" i="43"/>
  <c r="G66" i="43"/>
  <c r="D58" i="43"/>
  <c r="K58" i="43"/>
  <c r="G58" i="43"/>
  <c r="E64" i="10"/>
  <c r="E72" i="10" s="1"/>
  <c r="F62" i="10"/>
  <c r="D62" i="10"/>
  <c r="D18" i="46" s="1"/>
  <c r="K62" i="10"/>
  <c r="G62" i="10"/>
  <c r="I64" i="10"/>
  <c r="D66" i="10"/>
  <c r="E78" i="10" l="1"/>
  <c r="E73" i="10" s="1"/>
  <c r="I72" i="10"/>
  <c r="I73" i="10" s="1"/>
  <c r="C73" i="10"/>
  <c r="C65" i="10"/>
  <c r="D45" i="44"/>
  <c r="J18" i="46" s="1"/>
  <c r="G45" i="44"/>
  <c r="I18" i="46"/>
  <c r="C47" i="44"/>
  <c r="K45" i="44"/>
  <c r="K49" i="44"/>
  <c r="J45" i="44"/>
  <c r="I47" i="44"/>
  <c r="I56" i="44" s="1"/>
  <c r="G49" i="44"/>
  <c r="E47" i="44"/>
  <c r="E56" i="44" s="1"/>
  <c r="E63" i="44" s="1"/>
  <c r="F45" i="44"/>
  <c r="F73" i="43"/>
  <c r="F67" i="43"/>
  <c r="J73" i="43"/>
  <c r="J67" i="43"/>
  <c r="I65" i="10"/>
  <c r="D64" i="10"/>
  <c r="G64" i="10"/>
  <c r="K64" i="10"/>
  <c r="F64" i="10"/>
  <c r="E65" i="10"/>
  <c r="I63" i="44" l="1"/>
  <c r="I57" i="44" s="1"/>
  <c r="C48" i="44"/>
  <c r="D48" i="44" s="1"/>
  <c r="C56" i="44"/>
  <c r="C63" i="44" s="1"/>
  <c r="C57" i="44" s="1"/>
  <c r="K72" i="10"/>
  <c r="D72" i="10"/>
  <c r="D47" i="44"/>
  <c r="K47" i="44"/>
  <c r="J47" i="44"/>
  <c r="I48" i="44"/>
  <c r="J48" i="44" s="1"/>
  <c r="G47" i="44"/>
  <c r="E48" i="44"/>
  <c r="F48" i="44" s="1"/>
  <c r="F47" i="44"/>
  <c r="D78" i="10"/>
  <c r="D65" i="10"/>
  <c r="K65" i="10"/>
  <c r="G65" i="10"/>
  <c r="F65" i="10"/>
  <c r="D56" i="44" l="1"/>
  <c r="K78" i="10"/>
  <c r="G48" i="44"/>
  <c r="D63" i="44"/>
  <c r="G56" i="44"/>
  <c r="E57" i="44"/>
  <c r="K56" i="44"/>
  <c r="K48" i="44"/>
  <c r="J56" i="44"/>
  <c r="F56" i="44"/>
  <c r="K73" i="10"/>
  <c r="D73" i="10"/>
  <c r="D57" i="44" l="1"/>
  <c r="K63" i="44"/>
  <c r="J63" i="44"/>
  <c r="J57" i="44"/>
  <c r="F63" i="44"/>
  <c r="F57" i="44"/>
  <c r="G63" i="44"/>
  <c r="K57" i="44" l="1"/>
  <c r="G57" i="44"/>
  <c r="K73" i="43"/>
  <c r="D73" i="43"/>
  <c r="K67" i="43"/>
  <c r="G73" i="43"/>
  <c r="D67" i="43" l="1"/>
  <c r="G67" i="43"/>
  <c r="G72" i="10"/>
  <c r="F72" i="10"/>
  <c r="G73" i="10" l="1"/>
  <c r="F73" i="10"/>
  <c r="G78" i="10"/>
  <c r="F78" i="10"/>
</calcChain>
</file>

<file path=xl/sharedStrings.xml><?xml version="1.0" encoding="utf-8"?>
<sst xmlns="http://schemas.openxmlformats.org/spreadsheetml/2006/main" count="472" uniqueCount="196">
  <si>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</si>
  <si>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</si>
  <si>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</si>
  <si>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</si>
  <si>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</si>
  <si>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</si>
  <si>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</si>
  <si>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</si>
  <si>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</si>
  <si>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</si>
  <si>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</si>
  <si>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</si>
  <si>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</si>
  <si>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</si>
  <si>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</si>
  <si>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</si>
  <si>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</si>
  <si>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</si>
  <si>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</si>
  <si>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</si>
  <si>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</si>
  <si>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</si>
  <si>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</si>
  <si>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</si>
  <si>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</si>
  <si>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</si>
  <si>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</si>
  <si>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</si>
  <si>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</si>
  <si>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</si>
  <si>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</si>
  <si>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</si>
  <si>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</si>
  <si>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</si>
  <si>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</si>
  <si>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</si>
  <si>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</si>
  <si>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</si>
  <si>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</si>
  <si>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</si>
  <si>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</si>
  <si>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</si>
  <si>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</si>
  <si>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</si>
  <si>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</si>
  <si>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</si>
  <si>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</si>
  <si>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</si>
  <si>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</si>
  <si>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</si>
  <si>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</si>
  <si>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</si>
  <si>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</si>
  <si>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</si>
  <si>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</si>
  <si>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</si>
  <si>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</si>
  <si>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</si>
  <si>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</si>
  <si>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</si>
  <si>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</si>
  <si>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</si>
  <si>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</si>
  <si>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</si>
  <si>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</si>
  <si>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</si>
  <si>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</si>
  <si>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</si>
  <si>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</si>
  <si>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</si>
  <si>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</si>
  <si>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</si>
  <si>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</si>
  <si>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</si>
  <si>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</si>
  <si>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</si>
  <si>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</si>
  <si>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</si>
  <si>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</si>
  <si>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</si>
  <si>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</si>
  <si>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</si>
  <si>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</si>
  <si>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</si>
  <si>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</si>
  <si>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</si>
  <si>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</si>
  <si>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</si>
  <si>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</si>
  <si>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</si>
  <si>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</si>
  <si>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</si>
  <si>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</si>
  <si>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</si>
  <si>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</si>
  <si>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</si>
  <si>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</si>
  <si>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</si>
  <si>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</si>
  <si>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</si>
  <si>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</si>
  <si>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</si>
  <si>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</si>
  <si>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</si>
  <si>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</si>
  <si>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</si>
  <si>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</si>
  <si>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</si>
  <si>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</si>
  <si>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</si>
  <si>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</si>
  <si>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</si>
  <si>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</si>
  <si>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</si>
  <si>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</si>
  <si>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</si>
  <si>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</si>
  <si>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</si>
  <si>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</si>
  <si>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</si>
  <si>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</si>
  <si>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</si>
  <si>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</si>
  <si>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</si>
  <si>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</si>
  <si>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</si>
  <si>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</si>
  <si>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</si>
  <si>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</si>
  <si>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</si>
  <si>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</si>
  <si>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</si>
  <si>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</si>
  <si>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</si>
  <si>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</si>
  <si>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</si>
  <si>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</si>
  <si>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</si>
  <si>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</si>
  <si>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</si>
  <si>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</si>
  <si>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</si>
  <si>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</si>
  <si>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</si>
  <si>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</si>
  <si>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</si>
  <si>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</si>
  <si>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</si>
  <si>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</si>
  <si>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</si>
  <si>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</si>
  <si>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</si>
  <si>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</si>
  <si>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</si>
  <si>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</si>
  <si>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</si>
  <si>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</si>
  <si>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</si>
  <si>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</si>
  <si>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</si>
  <si>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</si>
  <si>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</si>
  <si>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</si>
  <si>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</si>
  <si>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</si>
  <si>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</si>
  <si>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</si>
  <si>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</si>
  <si>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</si>
  <si>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</si>
  <si>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</si>
  <si>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</si>
  <si>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</si>
  <si>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</si>
  <si>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</si>
  <si>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</si>
  <si>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</si>
  <si>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</si>
  <si>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</si>
  <si>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</si>
  <si>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</si>
  <si>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 xml:space="preserve">Ministarstvo finansija/ Ministry of finance </t>
  </si>
  <si>
    <t>Neto promjena obaveza</t>
  </si>
  <si>
    <t>Donacije i transferi</t>
  </si>
  <si>
    <t>Naknada za komunalno opremanje građevinskog zemljišta</t>
  </si>
  <si>
    <t>Fee for communal equipment of construction land</t>
  </si>
  <si>
    <t>Primarni  suficit/deficit</t>
  </si>
  <si>
    <t xml:space="preserve">Primici od otplate kredita </t>
  </si>
  <si>
    <t>Primici od otplate kredita</t>
  </si>
  <si>
    <t>Q4  2022</t>
  </si>
  <si>
    <t>Plan Q4 2023</t>
  </si>
  <si>
    <t>Q4 2023</t>
  </si>
  <si>
    <t>Q 4 2023</t>
  </si>
  <si>
    <t>Q 4 2022</t>
  </si>
  <si>
    <t>Plan Q 4 2023</t>
  </si>
  <si>
    <t>Q 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</si>
</sst>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 numFmtId="179" formatCode="0.000000000000000000"/>
    <numFmt numFmtId="180" formatCode="_-* #,##0.00\ _€_-;\-* #,##0.00\ _€_-;_-* &quot;-&quot;??\ _€_-;_-@_-"/>
    <numFmt numFmtId="181" formatCode="_-* #,##0.00\ _D_i_n_._-;\-* #,##0.00\ _D_i_n_._-;_-* &quot;-&quot;??\ _D_i_n_._-;_-@_-"/>
  </numFmts>
  <fonts count="69">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
      <b/>
      <sz val="10"/>
      <name val="Century Gothic"/>
      <family val="2"/>
    </font>
    <font>
      <sz val="12"/>
      <name val="Arial"/>
      <family val="2"/>
      <charset val="238"/>
    </font>
    <font>
      <sz val="11"/>
      <color rgb="FF9C000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0"/>
      <color indexed="8"/>
      <name val="Arial"/>
      <family val="2"/>
    </font>
    <font>
      <b/>
      <sz val="11"/>
      <color indexed="8"/>
      <name val="Calibri"/>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s>
  <fills count="6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
    <xf numFmtId="0" fontId="0" fillId="0" borderId="0"/>
    <xf numFmtId="166"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0" fontId="6" fillId="0" borderId="0" applyProtection="0"/>
    <xf numFmtId="0" fontId="7" fillId="0" borderId="0">
      <protection locked="0"/>
    </xf>
    <xf numFmtId="0" fontId="7"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0" fontId="8" fillId="0" borderId="0">
      <protection locked="0"/>
    </xf>
    <xf numFmtId="2" fontId="6" fillId="0" borderId="0" applyProtection="0"/>
    <xf numFmtId="0" fontId="6" fillId="0" borderId="0" applyNumberFormat="0" applyFont="0" applyFill="0" applyBorder="0" applyAlignment="0" applyProtection="0"/>
    <xf numFmtId="0" fontId="9" fillId="0" borderId="0" applyProtection="0"/>
    <xf numFmtId="170" fontId="5" fillId="0" borderId="0" applyFont="0" applyFill="0" applyBorder="0" applyAlignment="0" applyProtection="0"/>
    <xf numFmtId="171" fontId="5" fillId="0" borderId="0" applyFont="0" applyFill="0" applyBorder="0" applyAlignment="0" applyProtection="0"/>
    <xf numFmtId="165" fontId="10" fillId="0" borderId="0"/>
    <xf numFmtId="0" fontId="11" fillId="0" borderId="0"/>
    <xf numFmtId="0" fontId="12" fillId="0" borderId="0"/>
    <xf numFmtId="0" fontId="12" fillId="0" borderId="0"/>
    <xf numFmtId="0" fontId="15" fillId="0" borderId="0"/>
    <xf numFmtId="0" fontId="15" fillId="0" borderId="0"/>
    <xf numFmtId="0" fontId="15" fillId="0" borderId="0"/>
    <xf numFmtId="0" fontId="14" fillId="0" borderId="0">
      <alignment vertical="center"/>
    </xf>
    <xf numFmtId="0" fontId="16" fillId="0" borderId="0"/>
    <xf numFmtId="0" fontId="5" fillId="0" borderId="0"/>
    <xf numFmtId="0" fontId="4" fillId="0" borderId="0"/>
    <xf numFmtId="0" fontId="4"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4" fillId="0" borderId="0"/>
    <xf numFmtId="172" fontId="5" fillId="0" borderId="0" applyFont="0" applyFill="0" applyBorder="0" applyAlignment="0" applyProtection="0"/>
    <xf numFmtId="0" fontId="13" fillId="0" borderId="0"/>
    <xf numFmtId="0" fontId="3"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9" fontId="4" fillId="0" borderId="0" applyFont="0" applyFill="0" applyBorder="0" applyAlignment="0" applyProtection="0"/>
    <xf numFmtId="0" fontId="4" fillId="0" borderId="0"/>
    <xf numFmtId="175" fontId="4" fillId="0" borderId="0" applyFont="0" applyFill="0" applyBorder="0" applyAlignment="0" applyProtection="0"/>
    <xf numFmtId="176" fontId="31" fillId="0" borderId="0"/>
    <xf numFmtId="0" fontId="14" fillId="0" borderId="0"/>
    <xf numFmtId="0" fontId="14" fillId="0" borderId="0"/>
    <xf numFmtId="0" fontId="34" fillId="8" borderId="0" applyNumberFormat="0" applyBorder="0" applyAlignment="0" applyProtection="0"/>
    <xf numFmtId="0" fontId="35" fillId="0" borderId="0" applyNumberFormat="0" applyFill="0" applyBorder="0" applyAlignment="0" applyProtection="0"/>
    <xf numFmtId="0" fontId="36" fillId="0" borderId="32" applyNumberFormat="0" applyFill="0" applyAlignment="0" applyProtection="0"/>
    <xf numFmtId="0" fontId="37" fillId="0" borderId="33" applyNumberFormat="0" applyFill="0" applyAlignment="0" applyProtection="0"/>
    <xf numFmtId="0" fontId="38" fillId="0" borderId="34"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34" fillId="8" borderId="0" applyNumberFormat="0" applyBorder="0" applyAlignment="0" applyProtection="0"/>
    <xf numFmtId="0" fontId="40" fillId="9" borderId="0" applyNumberFormat="0" applyBorder="0" applyAlignment="0" applyProtection="0"/>
    <xf numFmtId="0" fontId="41" fillId="10" borderId="35" applyNumberFormat="0" applyAlignment="0" applyProtection="0"/>
    <xf numFmtId="0" fontId="42" fillId="11" borderId="36" applyNumberFormat="0" applyAlignment="0" applyProtection="0"/>
    <xf numFmtId="0" fontId="43" fillId="11" borderId="35" applyNumberFormat="0" applyAlignment="0" applyProtection="0"/>
    <xf numFmtId="0" fontId="44" fillId="0" borderId="37" applyNumberFormat="0" applyFill="0" applyAlignment="0" applyProtection="0"/>
    <xf numFmtId="0" fontId="45" fillId="12"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0"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0" borderId="0"/>
    <xf numFmtId="0" fontId="2" fillId="13" borderId="3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39"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0" borderId="0"/>
    <xf numFmtId="0" fontId="2" fillId="0" borderId="0"/>
    <xf numFmtId="0" fontId="1" fillId="0" borderId="0"/>
    <xf numFmtId="0" fontId="33" fillId="0" borderId="0"/>
    <xf numFmtId="0" fontId="1" fillId="0" borderId="0"/>
    <xf numFmtId="180" fontId="4" fillId="0" borderId="0" applyFont="0" applyFill="0" applyBorder="0" applyAlignment="0" applyProtection="0"/>
    <xf numFmtId="0" fontId="2" fillId="0" borderId="0"/>
    <xf numFmtId="180" fontId="4" fillId="0" borderId="0" applyFont="0" applyFill="0" applyBorder="0" applyAlignment="0" applyProtection="0"/>
    <xf numFmtId="0" fontId="14" fillId="0" borderId="0"/>
    <xf numFmtId="166" fontId="4" fillId="0" borderId="0" applyFont="0" applyFill="0" applyBorder="0" applyAlignment="0" applyProtection="0"/>
    <xf numFmtId="167" fontId="4" fillId="0" borderId="0" applyFont="0" applyFill="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5" borderId="0" applyNumberFormat="0" applyBorder="0" applyAlignment="0" applyProtection="0"/>
    <xf numFmtId="0" fontId="55" fillId="39" borderId="0" applyNumberFormat="0" applyBorder="0" applyAlignment="0" applyProtection="0"/>
    <xf numFmtId="0" fontId="56" fillId="56" borderId="41" applyNumberFormat="0" applyAlignment="0" applyProtection="0"/>
    <xf numFmtId="0" fontId="57" fillId="57" borderId="42" applyNumberFormat="0" applyAlignment="0" applyProtection="0"/>
    <xf numFmtId="43" fontId="14" fillId="0" borderId="0" applyFont="0" applyFill="0" applyBorder="0" applyAlignment="0" applyProtection="0"/>
    <xf numFmtId="43" fontId="4" fillId="0" borderId="0" applyFont="0" applyFill="0" applyBorder="0" applyAlignment="0" applyProtection="0"/>
    <xf numFmtId="0" fontId="50" fillId="0" borderId="0"/>
    <xf numFmtId="0" fontId="4" fillId="0" borderId="0"/>
    <xf numFmtId="0" fontId="4" fillId="0" borderId="0"/>
    <xf numFmtId="0" fontId="4" fillId="0" borderId="0"/>
    <xf numFmtId="0" fontId="58" fillId="0" borderId="0" applyNumberFormat="0" applyFill="0" applyBorder="0" applyAlignment="0" applyProtection="0"/>
    <xf numFmtId="0" fontId="59" fillId="40" borderId="0" applyNumberFormat="0" applyBorder="0" applyAlignment="0" applyProtection="0"/>
    <xf numFmtId="0" fontId="60" fillId="0" borderId="43" applyNumberFormat="0" applyFill="0" applyAlignment="0" applyProtection="0"/>
    <xf numFmtId="0" fontId="61" fillId="0" borderId="44" applyNumberFormat="0" applyFill="0" applyAlignment="0" applyProtection="0"/>
    <xf numFmtId="0" fontId="62" fillId="0" borderId="45" applyNumberFormat="0" applyFill="0" applyAlignment="0" applyProtection="0"/>
    <xf numFmtId="0" fontId="62" fillId="0" borderId="0" applyNumberForma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0" fontId="63" fillId="43" borderId="41" applyNumberFormat="0" applyAlignment="0" applyProtection="0"/>
    <xf numFmtId="0" fontId="64" fillId="0" borderId="46" applyNumberFormat="0" applyFill="0" applyAlignment="0" applyProtection="0"/>
    <xf numFmtId="0" fontId="65"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top"/>
    </xf>
    <xf numFmtId="0" fontId="51" fillId="0" borderId="0">
      <alignment vertical="top"/>
    </xf>
    <xf numFmtId="0" fontId="5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53" fillId="59" borderId="47" applyNumberFormat="0" applyFont="0" applyAlignment="0" applyProtection="0"/>
    <xf numFmtId="0" fontId="66" fillId="56" borderId="48" applyNumberFormat="0" applyAlignment="0" applyProtection="0"/>
    <xf numFmtId="172" fontId="4" fillId="0" borderId="0" applyFont="0" applyFill="0" applyBorder="0" applyAlignment="0" applyProtection="0"/>
    <xf numFmtId="0" fontId="67" fillId="0" borderId="0" applyNumberFormat="0" applyFill="0" applyBorder="0" applyAlignment="0" applyProtection="0"/>
    <xf numFmtId="0" fontId="52" fillId="0" borderId="49" applyNumberFormat="0" applyFill="0" applyAlignment="0" applyProtection="0"/>
    <xf numFmtId="0" fontId="6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 fillId="0" borderId="0"/>
    <xf numFmtId="0" fontId="2" fillId="31" borderId="0" applyNumberFormat="0" applyBorder="0" applyAlignment="0" applyProtection="0"/>
    <xf numFmtId="0" fontId="2" fillId="32" borderId="0" applyNumberFormat="0" applyBorder="0" applyAlignment="0" applyProtection="0"/>
    <xf numFmtId="0" fontId="1" fillId="0" borderId="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39" applyNumberFormat="0" applyFont="0" applyAlignment="0" applyProtection="0"/>
    <xf numFmtId="0" fontId="1" fillId="0" borderId="0"/>
    <xf numFmtId="0" fontId="1" fillId="0" borderId="0"/>
    <xf numFmtId="181" fontId="1" fillId="0" borderId="0" applyFont="0" applyFill="0" applyBorder="0" applyAlignment="0" applyProtection="0"/>
    <xf numFmtId="0" fontId="1" fillId="0" borderId="0"/>
    <xf numFmtId="0" fontId="1" fillId="0" borderId="0"/>
    <xf numFmtId="0" fontId="1" fillId="0" borderId="0"/>
    <xf numFmtId="0" fontId="1" fillId="0" borderId="0"/>
  </cellStyleXfs>
  <cellXfs count="127">
    <xf numFmtId="0" fontId="0" fillId="0" borderId="0" xfId="0"/>
    <xf numFmtId="0" fontId="4" fillId="0" borderId="0" xfId="27" applyFont="1"/>
    <xf numFmtId="0" fontId="4" fillId="0" borderId="0" xfId="27" applyFont="1" applyFill="1"/>
    <xf numFmtId="0" fontId="4" fillId="2" borderId="0" xfId="27" applyFont="1" applyFill="1"/>
    <xf numFmtId="0" fontId="17" fillId="0" borderId="0" xfId="0" applyFont="1"/>
    <xf numFmtId="0" fontId="17" fillId="0" borderId="0" xfId="0" applyFont="1" applyAlignment="1">
      <alignment horizontal="center"/>
    </xf>
    <xf numFmtId="164" fontId="17" fillId="0" borderId="0" xfId="0" applyNumberFormat="1" applyFont="1"/>
    <xf numFmtId="0" fontId="17" fillId="0" borderId="0" xfId="27" applyFont="1"/>
    <xf numFmtId="0" fontId="18" fillId="0" borderId="0" xfId="0" applyFont="1"/>
    <xf numFmtId="0" fontId="18" fillId="0" borderId="0" xfId="0" applyFont="1" applyBorder="1" applyAlignment="1"/>
    <xf numFmtId="0" fontId="18" fillId="0" borderId="0" xfId="27" applyFont="1"/>
    <xf numFmtId="164" fontId="18" fillId="0" borderId="0" xfId="0" applyNumberFormat="1" applyFont="1"/>
    <xf numFmtId="164" fontId="18" fillId="0" borderId="1" xfId="0" applyNumberFormat="1" applyFont="1" applyBorder="1" applyAlignment="1">
      <alignment horizontal="center"/>
    </xf>
    <xf numFmtId="0" fontId="18" fillId="0" borderId="1" xfId="0" applyFont="1" applyBorder="1" applyAlignment="1">
      <alignment horizontal="center"/>
    </xf>
    <xf numFmtId="0" fontId="18" fillId="0" borderId="1" xfId="27" applyFont="1" applyBorder="1" applyAlignment="1">
      <alignment horizontal="center"/>
    </xf>
    <xf numFmtId="0" fontId="18" fillId="5" borderId="5" xfId="0" applyFont="1" applyFill="1" applyBorder="1"/>
    <xf numFmtId="0" fontId="19" fillId="5" borderId="1" xfId="0" applyFont="1" applyFill="1" applyBorder="1"/>
    <xf numFmtId="164" fontId="18" fillId="5" borderId="1" xfId="0" applyNumberFormat="1" applyFont="1" applyFill="1" applyBorder="1"/>
    <xf numFmtId="0" fontId="18" fillId="0" borderId="5" xfId="0" applyFont="1" applyBorder="1"/>
    <xf numFmtId="0" fontId="18" fillId="0" borderId="1" xfId="0" applyFont="1" applyBorder="1"/>
    <xf numFmtId="164" fontId="18" fillId="0" borderId="1" xfId="0" applyNumberFormat="1" applyFont="1" applyBorder="1"/>
    <xf numFmtId="0" fontId="17" fillId="0" borderId="5" xfId="0" applyFont="1" applyBorder="1"/>
    <xf numFmtId="0" fontId="17" fillId="0" borderId="1" xfId="0" applyFont="1" applyBorder="1"/>
    <xf numFmtId="164" fontId="17" fillId="0" borderId="1" xfId="0" applyNumberFormat="1" applyFont="1" applyBorder="1"/>
    <xf numFmtId="0" fontId="18" fillId="0" borderId="7" xfId="0" applyFont="1" applyBorder="1"/>
    <xf numFmtId="0" fontId="18" fillId="0" borderId="8" xfId="0" applyFont="1" applyBorder="1"/>
    <xf numFmtId="164" fontId="18" fillId="0" borderId="8" xfId="0" applyNumberFormat="1" applyFont="1" applyBorder="1"/>
    <xf numFmtId="0" fontId="17" fillId="0" borderId="1" xfId="0" applyFont="1" applyBorder="1" applyAlignment="1">
      <alignment wrapText="1"/>
    </xf>
    <xf numFmtId="0" fontId="18" fillId="0" borderId="14" xfId="0" applyFont="1" applyBorder="1"/>
    <xf numFmtId="0" fontId="18" fillId="0" borderId="15" xfId="0" applyFont="1" applyBorder="1"/>
    <xf numFmtId="164" fontId="18" fillId="0" borderId="15" xfId="0" applyNumberFormat="1" applyFont="1" applyBorder="1"/>
    <xf numFmtId="0" fontId="18" fillId="3" borderId="5" xfId="0" applyFont="1" applyFill="1" applyBorder="1"/>
    <xf numFmtId="0" fontId="19" fillId="3" borderId="1" xfId="0" applyFont="1" applyFill="1" applyBorder="1"/>
    <xf numFmtId="164" fontId="18" fillId="3" borderId="1" xfId="0" applyNumberFormat="1" applyFont="1" applyFill="1" applyBorder="1"/>
    <xf numFmtId="0" fontId="4" fillId="3" borderId="0" xfId="27" applyFont="1" applyFill="1"/>
    <xf numFmtId="0" fontId="18" fillId="4" borderId="5" xfId="0" applyFont="1" applyFill="1" applyBorder="1"/>
    <xf numFmtId="0" fontId="19" fillId="4" borderId="1" xfId="0" applyFont="1" applyFill="1" applyBorder="1"/>
    <xf numFmtId="164" fontId="18" fillId="4" borderId="1" xfId="0" applyNumberFormat="1" applyFont="1" applyFill="1" applyBorder="1"/>
    <xf numFmtId="0" fontId="4" fillId="4" borderId="0" xfId="27" applyFont="1" applyFill="1"/>
    <xf numFmtId="174" fontId="18" fillId="5" borderId="1" xfId="0" applyNumberFormat="1" applyFont="1" applyFill="1" applyBorder="1"/>
    <xf numFmtId="174" fontId="18" fillId="0" borderId="1" xfId="0" applyNumberFormat="1" applyFont="1" applyBorder="1"/>
    <xf numFmtId="174" fontId="17" fillId="0" borderId="1" xfId="0" applyNumberFormat="1" applyFont="1" applyBorder="1"/>
    <xf numFmtId="174" fontId="18" fillId="0" borderId="8" xfId="0" applyNumberFormat="1" applyFont="1" applyBorder="1"/>
    <xf numFmtId="174" fontId="18" fillId="3" borderId="1" xfId="0" applyNumberFormat="1" applyFont="1" applyFill="1" applyBorder="1"/>
    <xf numFmtId="174" fontId="18"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9" fillId="6" borderId="0" xfId="0" applyFont="1"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2" fillId="6" borderId="0" xfId="0" applyFont="1" applyFill="1" applyBorder="1" applyAlignment="1" applyProtection="1">
      <alignment vertical="center"/>
      <protection hidden="1"/>
    </xf>
    <xf numFmtId="0" fontId="0" fillId="6" borderId="0" xfId="0" applyFill="1"/>
    <xf numFmtId="173" fontId="23" fillId="6" borderId="21" xfId="0" applyNumberFormat="1" applyFont="1" applyFill="1" applyBorder="1" applyAlignment="1" applyProtection="1">
      <alignment vertical="center"/>
      <protection hidden="1"/>
    </xf>
    <xf numFmtId="174" fontId="23" fillId="6" borderId="1" xfId="0" applyNumberFormat="1" applyFont="1" applyFill="1" applyBorder="1" applyAlignment="1" applyProtection="1">
      <alignment vertical="center"/>
      <protection hidden="1"/>
    </xf>
    <xf numFmtId="173" fontId="24" fillId="6" borderId="21" xfId="0" applyNumberFormat="1" applyFont="1" applyFill="1" applyBorder="1" applyAlignment="1" applyProtection="1">
      <alignment vertical="center"/>
      <protection hidden="1"/>
    </xf>
    <xf numFmtId="0" fontId="25" fillId="6" borderId="0" xfId="0" applyFont="1" applyFill="1" applyBorder="1" applyAlignment="1" applyProtection="1">
      <alignment horizontal="center" vertical="top"/>
      <protection hidden="1"/>
    </xf>
    <xf numFmtId="0" fontId="26"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2" fillId="6" borderId="0" xfId="0" applyFont="1" applyFill="1" applyAlignment="1" applyProtection="1">
      <alignment vertical="center"/>
      <protection hidden="1"/>
    </xf>
    <xf numFmtId="0" fontId="27"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20" fillId="2" borderId="0" xfId="0" applyFont="1" applyFill="1" applyAlignment="1" applyProtection="1">
      <alignment vertical="center"/>
      <protection hidden="1"/>
    </xf>
    <xf numFmtId="0" fontId="30" fillId="0" borderId="0" xfId="0" applyFont="1" applyAlignment="1">
      <alignment vertical="center" wrapText="1"/>
    </xf>
    <xf numFmtId="164" fontId="18" fillId="2" borderId="1" xfId="0" applyNumberFormat="1" applyFont="1" applyFill="1" applyBorder="1"/>
    <xf numFmtId="164" fontId="17" fillId="2" borderId="1" xfId="0" applyNumberFormat="1" applyFont="1" applyFill="1" applyBorder="1"/>
    <xf numFmtId="164" fontId="18" fillId="2" borderId="15" xfId="0" applyNumberFormat="1" applyFont="1" applyFill="1" applyBorder="1"/>
    <xf numFmtId="0" fontId="19" fillId="3" borderId="6" xfId="0" applyFont="1" applyFill="1" applyBorder="1"/>
    <xf numFmtId="0" fontId="18" fillId="0" borderId="6" xfId="0" applyFont="1" applyBorder="1"/>
    <xf numFmtId="0" fontId="17" fillId="0" borderId="6" xfId="0" applyFont="1" applyBorder="1"/>
    <xf numFmtId="0" fontId="17" fillId="0" borderId="6" xfId="0" applyFont="1" applyBorder="1" applyAlignment="1">
      <alignment wrapText="1"/>
    </xf>
    <xf numFmtId="0" fontId="18" fillId="0" borderId="28" xfId="0" applyFont="1" applyBorder="1"/>
    <xf numFmtId="0" fontId="18" fillId="0" borderId="25" xfId="0" applyFont="1" applyBorder="1"/>
    <xf numFmtId="164" fontId="17" fillId="0" borderId="1" xfId="27" applyNumberFormat="1" applyFont="1" applyBorder="1" applyAlignment="1">
      <alignment horizontal="right"/>
    </xf>
    <xf numFmtId="0" fontId="18" fillId="0" borderId="1" xfId="0" applyFont="1" applyBorder="1" applyAlignment="1">
      <alignment wrapText="1"/>
    </xf>
    <xf numFmtId="2" fontId="4" fillId="0" borderId="0" xfId="27" applyNumberFormat="1" applyFont="1"/>
    <xf numFmtId="0" fontId="19" fillId="4" borderId="6" xfId="0" applyFont="1" applyFill="1" applyBorder="1"/>
    <xf numFmtId="0" fontId="19" fillId="5" borderId="6" xfId="0" applyFont="1" applyFill="1" applyBorder="1"/>
    <xf numFmtId="0" fontId="19" fillId="5" borderId="5" xfId="0" applyFont="1" applyFill="1" applyBorder="1"/>
    <xf numFmtId="164" fontId="17" fillId="0" borderId="1" xfId="28" applyNumberFormat="1" applyFont="1" applyBorder="1" applyAlignment="1">
      <alignment horizontal="right"/>
    </xf>
    <xf numFmtId="164" fontId="18" fillId="0" borderId="0" xfId="0" applyNumberFormat="1" applyFont="1" applyBorder="1" applyAlignment="1"/>
    <xf numFmtId="174" fontId="4" fillId="0" borderId="0" xfId="27" applyNumberFormat="1" applyFont="1"/>
    <xf numFmtId="177" fontId="4" fillId="0" borderId="0" xfId="27" applyNumberFormat="1" applyFont="1"/>
    <xf numFmtId="165" fontId="17" fillId="0" borderId="0" xfId="0" applyNumberFormat="1" applyFont="1"/>
    <xf numFmtId="165" fontId="17" fillId="0" borderId="0" xfId="27" applyNumberFormat="1" applyFont="1"/>
    <xf numFmtId="178" fontId="4" fillId="0" borderId="0" xfId="27" applyNumberFormat="1" applyFont="1"/>
    <xf numFmtId="164" fontId="4" fillId="0" borderId="0" xfId="27" applyNumberFormat="1" applyFont="1"/>
    <xf numFmtId="165" fontId="0" fillId="0" borderId="0" xfId="0" applyNumberFormat="1"/>
    <xf numFmtId="174" fontId="18" fillId="0" borderId="1" xfId="0" applyNumberFormat="1" applyFont="1" applyBorder="1" applyAlignment="1">
      <alignment horizontal="right"/>
    </xf>
    <xf numFmtId="0" fontId="18" fillId="0" borderId="31" xfId="0" applyFont="1" applyBorder="1"/>
    <xf numFmtId="0" fontId="18" fillId="2" borderId="1" xfId="0" applyFont="1" applyFill="1" applyBorder="1"/>
    <xf numFmtId="0" fontId="32" fillId="0" borderId="1" xfId="0" applyFont="1" applyBorder="1"/>
    <xf numFmtId="174" fontId="18" fillId="5" borderId="1" xfId="0" applyNumberFormat="1" applyFont="1" applyFill="1" applyBorder="1" applyAlignment="1">
      <alignment horizontal="right"/>
    </xf>
    <xf numFmtId="174" fontId="17" fillId="0" borderId="1" xfId="0" applyNumberFormat="1" applyFont="1" applyBorder="1" applyAlignment="1">
      <alignment horizontal="right"/>
    </xf>
    <xf numFmtId="174" fontId="18" fillId="0" borderId="8" xfId="0" applyNumberFormat="1" applyFont="1" applyBorder="1" applyAlignment="1">
      <alignment horizontal="right"/>
    </xf>
    <xf numFmtId="0" fontId="17" fillId="0" borderId="0" xfId="27" applyFont="1" applyAlignment="1">
      <alignment horizontal="right"/>
    </xf>
    <xf numFmtId="0" fontId="18" fillId="0" borderId="0" xfId="27" applyFont="1" applyAlignment="1">
      <alignment horizontal="right"/>
    </xf>
    <xf numFmtId="0" fontId="18" fillId="0" borderId="1" xfId="0" applyFont="1" applyBorder="1" applyAlignment="1">
      <alignment horizontal="right"/>
    </xf>
    <xf numFmtId="174" fontId="18" fillId="3" borderId="1" xfId="0" applyNumberFormat="1" applyFont="1" applyFill="1" applyBorder="1" applyAlignment="1">
      <alignment horizontal="right"/>
    </xf>
    <xf numFmtId="0" fontId="18" fillId="0" borderId="1" xfId="27" applyFont="1" applyBorder="1" applyAlignment="1">
      <alignment horizontal="right"/>
    </xf>
    <xf numFmtId="174" fontId="18" fillId="4" borderId="1" xfId="0" applyNumberFormat="1" applyFont="1" applyFill="1" applyBorder="1" applyAlignment="1">
      <alignment horizontal="right"/>
    </xf>
    <xf numFmtId="0" fontId="18" fillId="0" borderId="1" xfId="0" applyFont="1" applyFill="1" applyBorder="1"/>
    <xf numFmtId="179" fontId="4" fillId="0" borderId="0" xfId="27" applyNumberFormat="1" applyFont="1"/>
    <xf numFmtId="178" fontId="18" fillId="0" borderId="1" xfId="0" applyNumberFormat="1" applyFont="1" applyBorder="1" applyAlignment="1">
      <alignment horizontal="right"/>
    </xf>
    <xf numFmtId="174" fontId="17" fillId="0" borderId="0" xfId="0" applyNumberFormat="1" applyFont="1" applyAlignment="1">
      <alignment horizontal="center"/>
    </xf>
    <xf numFmtId="0" fontId="20" fillId="6" borderId="0" xfId="0" applyFont="1" applyFill="1" applyBorder="1" applyAlignment="1" applyProtection="1">
      <alignment horizontal="center" vertical="center" wrapText="1"/>
      <protection hidden="1"/>
    </xf>
    <xf numFmtId="164" fontId="18" fillId="0" borderId="3" xfId="0" applyNumberFormat="1" applyFont="1" applyBorder="1" applyAlignment="1">
      <alignment horizontal="center"/>
    </xf>
    <xf numFmtId="164" fontId="18" fillId="0" borderId="4" xfId="0" applyNumberFormat="1"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2" xfId="0" applyFont="1" applyBorder="1" applyAlignment="1">
      <alignment horizontal="center" wrapText="1"/>
    </xf>
    <xf numFmtId="0" fontId="18" fillId="0" borderId="11" xfId="0" applyFont="1" applyBorder="1" applyAlignment="1">
      <alignment horizontal="center" wrapText="1"/>
    </xf>
    <xf numFmtId="0" fontId="18" fillId="0" borderId="9" xfId="27" applyFont="1" applyBorder="1" applyAlignment="1">
      <alignment horizontal="center"/>
    </xf>
    <xf numFmtId="0" fontId="18" fillId="0" borderId="10" xfId="27"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9" xfId="28" applyFont="1" applyBorder="1" applyAlignment="1">
      <alignment horizontal="center"/>
    </xf>
    <xf numFmtId="0" fontId="18" fillId="0" borderId="10" xfId="28" applyFont="1" applyBorder="1" applyAlignment="1">
      <alignment horizontal="center"/>
    </xf>
    <xf numFmtId="0" fontId="18" fillId="0" borderId="29" xfId="27" applyFont="1" applyBorder="1" applyAlignment="1">
      <alignment horizontal="center"/>
    </xf>
    <xf numFmtId="0" fontId="18" fillId="0" borderId="30" xfId="27" applyFont="1" applyBorder="1" applyAlignment="1">
      <alignment horizontal="center"/>
    </xf>
  </cellXfs>
  <cellStyles count="286">
    <cellStyle name="1 indent" xfId="1" xr:uid="{00000000-0005-0000-0000-000000000000}"/>
    <cellStyle name="1 indent 2" xfId="41" xr:uid="{00000000-0005-0000-0000-000001000000}"/>
    <cellStyle name="1 indent 3" xfId="140" xr:uid="{00000000-0005-0000-0000-000002000000}"/>
    <cellStyle name="2 indents" xfId="2" xr:uid="{00000000-0005-0000-0000-000002000000}"/>
    <cellStyle name="2 indents 2" xfId="42" xr:uid="{00000000-0005-0000-0000-000003000000}"/>
    <cellStyle name="2 indents 3" xfId="141" xr:uid="{00000000-0005-0000-0000-000005000000}"/>
    <cellStyle name="20% - Accent1 2" xfId="118" xr:uid="{00000000-0005-0000-0000-000007000000}"/>
    <cellStyle name="20% - Accent1 2 2" xfId="142" xr:uid="{00000000-0005-0000-0000-000008000000}"/>
    <cellStyle name="20% - Accent1 3" xfId="263" xr:uid="{00000000-0005-0000-0000-000009000000}"/>
    <cellStyle name="20% - Accent1 4" xfId="82" xr:uid="{00000000-0005-0000-0000-00006E000000}"/>
    <cellStyle name="20% - Accent2 2" xfId="120" xr:uid="{00000000-0005-0000-0000-00000B000000}"/>
    <cellStyle name="20% - Accent2 2 2" xfId="143" xr:uid="{00000000-0005-0000-0000-00000C000000}"/>
    <cellStyle name="20% - Accent2 3" xfId="265" xr:uid="{00000000-0005-0000-0000-00000D000000}"/>
    <cellStyle name="20% - Accent2 4" xfId="86" xr:uid="{00000000-0005-0000-0000-000072000000}"/>
    <cellStyle name="20% - Accent3 2" xfId="122" xr:uid="{00000000-0005-0000-0000-00000F000000}"/>
    <cellStyle name="20% - Accent3 2 2" xfId="144" xr:uid="{00000000-0005-0000-0000-000010000000}"/>
    <cellStyle name="20% - Accent3 3" xfId="267" xr:uid="{00000000-0005-0000-0000-000011000000}"/>
    <cellStyle name="20% - Accent3 4" xfId="90" xr:uid="{00000000-0005-0000-0000-000076000000}"/>
    <cellStyle name="20% - Accent4 2" xfId="124" xr:uid="{00000000-0005-0000-0000-000013000000}"/>
    <cellStyle name="20% - Accent4 2 2" xfId="145" xr:uid="{00000000-0005-0000-0000-000014000000}"/>
    <cellStyle name="20% - Accent4 3" xfId="269" xr:uid="{00000000-0005-0000-0000-000015000000}"/>
    <cellStyle name="20% - Accent4 4" xfId="94" xr:uid="{00000000-0005-0000-0000-00007A000000}"/>
    <cellStyle name="20% - Accent5 2" xfId="126" xr:uid="{00000000-0005-0000-0000-000017000000}"/>
    <cellStyle name="20% - Accent5 2 2" xfId="146" xr:uid="{00000000-0005-0000-0000-000018000000}"/>
    <cellStyle name="20% - Accent5 3" xfId="272" xr:uid="{00000000-0005-0000-0000-000019000000}"/>
    <cellStyle name="20% - Accent5 4" xfId="98" xr:uid="{00000000-0005-0000-0000-00007E000000}"/>
    <cellStyle name="20% - Accent6 2" xfId="128" xr:uid="{00000000-0005-0000-0000-00001B000000}"/>
    <cellStyle name="20% - Accent6 2 2" xfId="147" xr:uid="{00000000-0005-0000-0000-00001C000000}"/>
    <cellStyle name="20% - Accent6 3" xfId="275" xr:uid="{00000000-0005-0000-0000-00001D000000}"/>
    <cellStyle name="20% - Accent6 4" xfId="102" xr:uid="{00000000-0005-0000-0000-000082000000}"/>
    <cellStyle name="3 indents" xfId="3" xr:uid="{00000000-0005-0000-0000-000004000000}"/>
    <cellStyle name="3 indents 2" xfId="43" xr:uid="{00000000-0005-0000-0000-000005000000}"/>
    <cellStyle name="3 indents 3" xfId="148" xr:uid="{00000000-0005-0000-0000-000020000000}"/>
    <cellStyle name="4 indents" xfId="4" xr:uid="{00000000-0005-0000-0000-000006000000}"/>
    <cellStyle name="4 indents 2" xfId="44" xr:uid="{00000000-0005-0000-0000-000007000000}"/>
    <cellStyle name="4 indents 3" xfId="149" xr:uid="{00000000-0005-0000-0000-000023000000}"/>
    <cellStyle name="40% - Accent1 2" xfId="119" xr:uid="{00000000-0005-0000-0000-000025000000}"/>
    <cellStyle name="40% - Accent1 2 2" xfId="150" xr:uid="{00000000-0005-0000-0000-000026000000}"/>
    <cellStyle name="40% - Accent1 3" xfId="264" xr:uid="{00000000-0005-0000-0000-000027000000}"/>
    <cellStyle name="40% - Accent1 4" xfId="83" xr:uid="{00000000-0005-0000-0000-000088000000}"/>
    <cellStyle name="40% - Accent2 2" xfId="121" xr:uid="{00000000-0005-0000-0000-000029000000}"/>
    <cellStyle name="40% - Accent2 2 2" xfId="151" xr:uid="{00000000-0005-0000-0000-00002A000000}"/>
    <cellStyle name="40% - Accent2 3" xfId="266" xr:uid="{00000000-0005-0000-0000-00002B000000}"/>
    <cellStyle name="40% - Accent2 4" xfId="87" xr:uid="{00000000-0005-0000-0000-00008C000000}"/>
    <cellStyle name="40% - Accent3 2" xfId="123" xr:uid="{00000000-0005-0000-0000-00002D000000}"/>
    <cellStyle name="40% - Accent3 2 2" xfId="152" xr:uid="{00000000-0005-0000-0000-00002E000000}"/>
    <cellStyle name="40% - Accent3 3" xfId="268" xr:uid="{00000000-0005-0000-0000-00002F000000}"/>
    <cellStyle name="40% - Accent3 4" xfId="91" xr:uid="{00000000-0005-0000-0000-000090000000}"/>
    <cellStyle name="40% - Accent4 2" xfId="125" xr:uid="{00000000-0005-0000-0000-000031000000}"/>
    <cellStyle name="40% - Accent4 2 2" xfId="153" xr:uid="{00000000-0005-0000-0000-000032000000}"/>
    <cellStyle name="40% - Accent4 3" xfId="270" xr:uid="{00000000-0005-0000-0000-000033000000}"/>
    <cellStyle name="40% - Accent4 4" xfId="95" xr:uid="{00000000-0005-0000-0000-000094000000}"/>
    <cellStyle name="40% - Accent5 2" xfId="127" xr:uid="{00000000-0005-0000-0000-000035000000}"/>
    <cellStyle name="40% - Accent5 2 2" xfId="154" xr:uid="{00000000-0005-0000-0000-000036000000}"/>
    <cellStyle name="40% - Accent5 3" xfId="273" xr:uid="{00000000-0005-0000-0000-000037000000}"/>
    <cellStyle name="40% - Accent5 4" xfId="99" xr:uid="{00000000-0005-0000-0000-000098000000}"/>
    <cellStyle name="40% - Accent6 2" xfId="129" xr:uid="{00000000-0005-0000-0000-000039000000}"/>
    <cellStyle name="40% - Accent6 2 2" xfId="155" xr:uid="{00000000-0005-0000-0000-00003A000000}"/>
    <cellStyle name="40% - Accent6 3" xfId="276" xr:uid="{00000000-0005-0000-0000-00003B000000}"/>
    <cellStyle name="40% - Accent6 4" xfId="103" xr:uid="{00000000-0005-0000-0000-00009C000000}"/>
    <cellStyle name="60% - Accent1 2" xfId="156" xr:uid="{00000000-0005-0000-0000-00003D000000}"/>
    <cellStyle name="60% - Accent1 3" xfId="84" xr:uid="{00000000-0005-0000-0000-0000A0000000}"/>
    <cellStyle name="60% - Accent2 2" xfId="157" xr:uid="{00000000-0005-0000-0000-00003F000000}"/>
    <cellStyle name="60% - Accent2 3" xfId="88" xr:uid="{00000000-0005-0000-0000-0000A2000000}"/>
    <cellStyle name="60% - Accent3 2" xfId="158" xr:uid="{00000000-0005-0000-0000-000041000000}"/>
    <cellStyle name="60% - Accent3 3" xfId="92" xr:uid="{00000000-0005-0000-0000-0000A4000000}"/>
    <cellStyle name="60% - Accent4 2" xfId="159" xr:uid="{00000000-0005-0000-0000-000043000000}"/>
    <cellStyle name="60% - Accent4 3" xfId="96" xr:uid="{00000000-0005-0000-0000-0000A6000000}"/>
    <cellStyle name="60% - Accent5 2" xfId="160" xr:uid="{00000000-0005-0000-0000-000045000000}"/>
    <cellStyle name="60% - Accent5 3" xfId="100" xr:uid="{00000000-0005-0000-0000-0000A8000000}"/>
    <cellStyle name="60% - Accent6 2" xfId="161" xr:uid="{00000000-0005-0000-0000-000047000000}"/>
    <cellStyle name="60% - Accent6 3" xfId="104" xr:uid="{00000000-0005-0000-0000-0000AA000000}"/>
    <cellStyle name="Accent1 2" xfId="162" xr:uid="{00000000-0005-0000-0000-000049000000}"/>
    <cellStyle name="Accent1 3" xfId="81" xr:uid="{00000000-0005-0000-0000-0000AC000000}"/>
    <cellStyle name="Accent2 2" xfId="163" xr:uid="{00000000-0005-0000-0000-00004B000000}"/>
    <cellStyle name="Accent2 3" xfId="85" xr:uid="{00000000-0005-0000-0000-0000AE000000}"/>
    <cellStyle name="Accent3 2" xfId="164" xr:uid="{00000000-0005-0000-0000-00004D000000}"/>
    <cellStyle name="Accent3 3" xfId="89" xr:uid="{00000000-0005-0000-0000-0000B0000000}"/>
    <cellStyle name="Accent4 2" xfId="165" xr:uid="{00000000-0005-0000-0000-00004F000000}"/>
    <cellStyle name="Accent4 3" xfId="93" xr:uid="{00000000-0005-0000-0000-0000B2000000}"/>
    <cellStyle name="Accent5 2" xfId="166" xr:uid="{00000000-0005-0000-0000-000051000000}"/>
    <cellStyle name="Accent5 3" xfId="97" xr:uid="{00000000-0005-0000-0000-0000B4000000}"/>
    <cellStyle name="Accent6 2" xfId="167" xr:uid="{00000000-0005-0000-0000-000053000000}"/>
    <cellStyle name="Accent6 3" xfId="101" xr:uid="{00000000-0005-0000-0000-0000B6000000}"/>
    <cellStyle name="Bad 2" xfId="64" xr:uid="{00000000-0005-0000-0000-000055000000}"/>
    <cellStyle name="Bad 2 2" xfId="168" xr:uid="{00000000-0005-0000-0000-000056000000}"/>
    <cellStyle name="Bad 3" xfId="71" xr:uid="{00000000-0005-0000-0000-0000B8000000}"/>
    <cellStyle name="Calculation 2" xfId="169" xr:uid="{00000000-0005-0000-0000-000058000000}"/>
    <cellStyle name="Calculation 3" xfId="75" xr:uid="{00000000-0005-0000-0000-0000BB000000}"/>
    <cellStyle name="Check Cell 2" xfId="170" xr:uid="{00000000-0005-0000-0000-00005A000000}"/>
    <cellStyle name="Check Cell 3" xfId="77" xr:uid="{00000000-0005-0000-0000-0000BD000000}"/>
    <cellStyle name="Comma 2" xfId="138" xr:uid="{00000000-0005-0000-0000-00005C000000}"/>
    <cellStyle name="Comma 2 2" xfId="172" xr:uid="{00000000-0005-0000-0000-00005D000000}"/>
    <cellStyle name="Comma 3" xfId="171" xr:uid="{00000000-0005-0000-0000-00005E000000}"/>
    <cellStyle name="Comma 4" xfId="281" xr:uid="{00000000-0005-0000-0000-00005F000000}"/>
    <cellStyle name="Comma 5" xfId="136" xr:uid="{00000000-0005-0000-0000-0000BF000000}"/>
    <cellStyle name="Currency 2" xfId="60" xr:uid="{00000000-0005-0000-0000-000008000000}"/>
    <cellStyle name="Date" xfId="5" xr:uid="{00000000-0005-0000-0000-000009000000}"/>
    <cellStyle name="Excel Built-in Normal" xfId="61" xr:uid="{00000000-0005-0000-0000-00000A000000}"/>
    <cellStyle name="Excel Built-in Normal 2" xfId="174" xr:uid="{00000000-0005-0000-0000-000062000000}"/>
    <cellStyle name="Excel Built-in Normal 2 2" xfId="175" xr:uid="{00000000-0005-0000-0000-000063000000}"/>
    <cellStyle name="Excel Built-in Normal 2 3" xfId="176" xr:uid="{00000000-0005-0000-0000-000064000000}"/>
    <cellStyle name="Excel Built-in Normal 3" xfId="173" xr:uid="{00000000-0005-0000-0000-000061000000}"/>
    <cellStyle name="Explanatory Text 2" xfId="177" xr:uid="{00000000-0005-0000-0000-000066000000}"/>
    <cellStyle name="Explanatory Text 3" xfId="79" xr:uid="{00000000-0005-0000-0000-0000C8000000}"/>
    <cellStyle name="F2" xfId="6" xr:uid="{00000000-0005-0000-0000-00000B000000}"/>
    <cellStyle name="F3" xfId="7" xr:uid="{00000000-0005-0000-0000-00000C000000}"/>
    <cellStyle name="F4" xfId="8" xr:uid="{00000000-0005-0000-0000-00000D000000}"/>
    <cellStyle name="F5" xfId="9" xr:uid="{00000000-0005-0000-0000-00000E000000}"/>
    <cellStyle name="F6" xfId="10" xr:uid="{00000000-0005-0000-0000-00000F000000}"/>
    <cellStyle name="F7" xfId="11" xr:uid="{00000000-0005-0000-0000-000010000000}"/>
    <cellStyle name="F8" xfId="12" xr:uid="{00000000-0005-0000-0000-000011000000}"/>
    <cellStyle name="Fixed" xfId="13" xr:uid="{00000000-0005-0000-0000-000012000000}"/>
    <cellStyle name="Good 2" xfId="178" xr:uid="{00000000-0005-0000-0000-000070000000}"/>
    <cellStyle name="Good 3" xfId="70" xr:uid="{00000000-0005-0000-0000-0000CA000000}"/>
    <cellStyle name="Heading 1 2" xfId="179" xr:uid="{00000000-0005-0000-0000-000072000000}"/>
    <cellStyle name="Heading 1 3" xfId="66" xr:uid="{00000000-0005-0000-0000-0000CC000000}"/>
    <cellStyle name="Heading 2 2" xfId="180" xr:uid="{00000000-0005-0000-0000-000074000000}"/>
    <cellStyle name="Heading 2 3" xfId="67" xr:uid="{00000000-0005-0000-0000-0000CE000000}"/>
    <cellStyle name="Heading 3 2" xfId="181" xr:uid="{00000000-0005-0000-0000-000076000000}"/>
    <cellStyle name="Heading 3 3" xfId="68" xr:uid="{00000000-0005-0000-0000-0000D0000000}"/>
    <cellStyle name="Heading 4 2" xfId="182" xr:uid="{00000000-0005-0000-0000-000078000000}"/>
    <cellStyle name="Heading 4 3" xfId="69" xr:uid="{00000000-0005-0000-0000-0000D2000000}"/>
    <cellStyle name="HEADING1" xfId="14" xr:uid="{00000000-0005-0000-0000-000013000000}"/>
    <cellStyle name="HEADING2" xfId="15" xr:uid="{00000000-0005-0000-0000-000014000000}"/>
    <cellStyle name="imf-one decimal" xfId="16" xr:uid="{00000000-0005-0000-0000-000015000000}"/>
    <cellStyle name="imf-one decimal 2" xfId="45" xr:uid="{00000000-0005-0000-0000-000016000000}"/>
    <cellStyle name="imf-one decimal 3" xfId="183" xr:uid="{00000000-0005-0000-0000-00007D000000}"/>
    <cellStyle name="imf-zero decimal" xfId="17" xr:uid="{00000000-0005-0000-0000-000017000000}"/>
    <cellStyle name="imf-zero decimal 2" xfId="46" xr:uid="{00000000-0005-0000-0000-000018000000}"/>
    <cellStyle name="imf-zero decimal 3" xfId="184" xr:uid="{00000000-0005-0000-0000-000080000000}"/>
    <cellStyle name="Input 2" xfId="185" xr:uid="{00000000-0005-0000-0000-000082000000}"/>
    <cellStyle name="Input 3" xfId="73" xr:uid="{00000000-0005-0000-0000-0000D6000000}"/>
    <cellStyle name="Label" xfId="18" xr:uid="{00000000-0005-0000-0000-000019000000}"/>
    <cellStyle name="Linked Cell 2" xfId="186" xr:uid="{00000000-0005-0000-0000-000085000000}"/>
    <cellStyle name="Linked Cell 3" xfId="76" xr:uid="{00000000-0005-0000-0000-0000D8000000}"/>
    <cellStyle name="Neutral 2" xfId="187" xr:uid="{00000000-0005-0000-0000-000087000000}"/>
    <cellStyle name="Neutral 3" xfId="72" xr:uid="{00000000-0005-0000-0000-0000DA000000}"/>
    <cellStyle name="Normal" xfId="0" builtinId="0"/>
    <cellStyle name="Normal - Style1" xfId="19" xr:uid="{00000000-0005-0000-0000-00001B000000}"/>
    <cellStyle name="Normal - Style2" xfId="20" xr:uid="{00000000-0005-0000-0000-00001C000000}"/>
    <cellStyle name="Normal - Style3" xfId="21" xr:uid="{00000000-0005-0000-0000-00001D000000}"/>
    <cellStyle name="Normal 10" xfId="22" xr:uid="{00000000-0005-0000-0000-00001E000000}"/>
    <cellStyle name="Normal 10 2" xfId="54" xr:uid="{00000000-0005-0000-0000-00001F000000}"/>
    <cellStyle name="Normal 10 2 2" xfId="254" xr:uid="{00000000-0005-0000-0000-00008D000000}"/>
    <cellStyle name="Normal 11" xfId="23" xr:uid="{00000000-0005-0000-0000-000020000000}"/>
    <cellStyle name="Normal 11 2" xfId="55" xr:uid="{00000000-0005-0000-0000-000021000000}"/>
    <cellStyle name="Normal 11 2 2" xfId="255" xr:uid="{00000000-0005-0000-0000-00008F000000}"/>
    <cellStyle name="Normal 12" xfId="24" xr:uid="{00000000-0005-0000-0000-000022000000}"/>
    <cellStyle name="Normal 12 2" xfId="56" xr:uid="{00000000-0005-0000-0000-000023000000}"/>
    <cellStyle name="Normal 12 2 2" xfId="256" xr:uid="{00000000-0005-0000-0000-000091000000}"/>
    <cellStyle name="Normal 13" xfId="40" xr:uid="{00000000-0005-0000-0000-000024000000}"/>
    <cellStyle name="Normal 13 2" xfId="63" xr:uid="{00000000-0005-0000-0000-000092000000}"/>
    <cellStyle name="Normal 14" xfId="105" xr:uid="{00000000-0005-0000-0000-000093000000}"/>
    <cellStyle name="Normal 14 2" xfId="257" xr:uid="{00000000-0005-0000-0000-000094000000}"/>
    <cellStyle name="Normal 15" xfId="25" xr:uid="{00000000-0005-0000-0000-000025000000}"/>
    <cellStyle name="Normal 15 2" xfId="107" xr:uid="{00000000-0005-0000-0000-000095000000}"/>
    <cellStyle name="Normal 16" xfId="26" xr:uid="{00000000-0005-0000-0000-000026000000}"/>
    <cellStyle name="Normal 16 2" xfId="130" xr:uid="{00000000-0005-0000-0000-000097000000}"/>
    <cellStyle name="Normal 16 2 2" xfId="189" xr:uid="{00000000-0005-0000-0000-000098000000}"/>
    <cellStyle name="Normal 16 3" xfId="190" xr:uid="{00000000-0005-0000-0000-000099000000}"/>
    <cellStyle name="Normal 16 4" xfId="188" xr:uid="{00000000-0005-0000-0000-00009A000000}"/>
    <cellStyle name="Normal 16 5" xfId="111" xr:uid="{00000000-0005-0000-0000-000096000000}"/>
    <cellStyle name="Normal 17" xfId="113" xr:uid="{00000000-0005-0000-0000-00009B000000}"/>
    <cellStyle name="Normal 17 2" xfId="131" xr:uid="{00000000-0005-0000-0000-00009C000000}"/>
    <cellStyle name="Normal 17 2 2" xfId="192" xr:uid="{00000000-0005-0000-0000-00009D000000}"/>
    <cellStyle name="Normal 17 3" xfId="193" xr:uid="{00000000-0005-0000-0000-00009E000000}"/>
    <cellStyle name="Normal 17 4" xfId="191" xr:uid="{00000000-0005-0000-0000-00009F000000}"/>
    <cellStyle name="Normal 18" xfId="114" xr:uid="{00000000-0005-0000-0000-0000A0000000}"/>
    <cellStyle name="Normal 19" xfId="109" xr:uid="{00000000-0005-0000-0000-0000A1000000}"/>
    <cellStyle name="Normal 19 2" xfId="132" xr:uid="{00000000-0005-0000-0000-0000A2000000}"/>
    <cellStyle name="Normal 19 2 2" xfId="195" xr:uid="{00000000-0005-0000-0000-0000A3000000}"/>
    <cellStyle name="Normal 19 3" xfId="196" xr:uid="{00000000-0005-0000-0000-0000A4000000}"/>
    <cellStyle name="Normal 19 4" xfId="194" xr:uid="{00000000-0005-0000-0000-0000A5000000}"/>
    <cellStyle name="Normal 2" xfId="27" xr:uid="{00000000-0005-0000-0000-000027000000}"/>
    <cellStyle name="Normal 2 10" xfId="198" xr:uid="{00000000-0005-0000-0000-0000A7000000}"/>
    <cellStyle name="Normal 2 11" xfId="197" xr:uid="{00000000-0005-0000-0000-0000A8000000}"/>
    <cellStyle name="Normal 2 2" xfId="28" xr:uid="{00000000-0005-0000-0000-000028000000}"/>
    <cellStyle name="Normal 2 2 2" xfId="59" xr:uid="{00000000-0005-0000-0000-000029000000}"/>
    <cellStyle name="Normal 2 2 2 2" xfId="200" xr:uid="{00000000-0005-0000-0000-0000AA000000}"/>
    <cellStyle name="Normal 2 2 3" xfId="201" xr:uid="{00000000-0005-0000-0000-0000AB000000}"/>
    <cellStyle name="Normal 2 2 4" xfId="199" xr:uid="{00000000-0005-0000-0000-0000AC000000}"/>
    <cellStyle name="Normal 2 3" xfId="202" xr:uid="{00000000-0005-0000-0000-0000AD000000}"/>
    <cellStyle name="Normal 2 3 2" xfId="203" xr:uid="{00000000-0005-0000-0000-0000AE000000}"/>
    <cellStyle name="Normal 2 3 3" xfId="204" xr:uid="{00000000-0005-0000-0000-0000AF000000}"/>
    <cellStyle name="Normal 2 4" xfId="205" xr:uid="{00000000-0005-0000-0000-0000B0000000}"/>
    <cellStyle name="Normal 2 4 2" xfId="206" xr:uid="{00000000-0005-0000-0000-0000B1000000}"/>
    <cellStyle name="Normal 2 4 3" xfId="207" xr:uid="{00000000-0005-0000-0000-0000B2000000}"/>
    <cellStyle name="Normal 2 5" xfId="208" xr:uid="{00000000-0005-0000-0000-0000B3000000}"/>
    <cellStyle name="Normal 2 5 2" xfId="209" xr:uid="{00000000-0005-0000-0000-0000B4000000}"/>
    <cellStyle name="Normal 2 5 3" xfId="210" xr:uid="{00000000-0005-0000-0000-0000B5000000}"/>
    <cellStyle name="Normal 2 6" xfId="211" xr:uid="{00000000-0005-0000-0000-0000B6000000}"/>
    <cellStyle name="Normal 2 6 2" xfId="212" xr:uid="{00000000-0005-0000-0000-0000B7000000}"/>
    <cellStyle name="Normal 2 6 3" xfId="213" xr:uid="{00000000-0005-0000-0000-0000B8000000}"/>
    <cellStyle name="Normal 2 7" xfId="214" xr:uid="{00000000-0005-0000-0000-0000B9000000}"/>
    <cellStyle name="Normal 2 7 2" xfId="215" xr:uid="{00000000-0005-0000-0000-0000BA000000}"/>
    <cellStyle name="Normal 2 7 3" xfId="216" xr:uid="{00000000-0005-0000-0000-0000BB000000}"/>
    <cellStyle name="Normal 2 8" xfId="217" xr:uid="{00000000-0005-0000-0000-0000BC000000}"/>
    <cellStyle name="Normal 2 8 2" xfId="218" xr:uid="{00000000-0005-0000-0000-0000BD000000}"/>
    <cellStyle name="Normal 2 8 3" xfId="219" xr:uid="{00000000-0005-0000-0000-0000BE000000}"/>
    <cellStyle name="Normal 2 9" xfId="220" xr:uid="{00000000-0005-0000-0000-0000BF000000}"/>
    <cellStyle name="Normal 20" xfId="108" xr:uid="{00000000-0005-0000-0000-0000C0000000}"/>
    <cellStyle name="Normal 21" xfId="110" xr:uid="{00000000-0005-0000-0000-0000C1000000}"/>
    <cellStyle name="Normal 22" xfId="112" xr:uid="{00000000-0005-0000-0000-0000C2000000}"/>
    <cellStyle name="Normal 23" xfId="115" xr:uid="{00000000-0005-0000-0000-0000C3000000}"/>
    <cellStyle name="Normal 24" xfId="116" xr:uid="{00000000-0005-0000-0000-0000C4000000}"/>
    <cellStyle name="Normal 25" xfId="137" xr:uid="{00000000-0005-0000-0000-0000C5000000}"/>
    <cellStyle name="Normal 26" xfId="139" xr:uid="{00000000-0005-0000-0000-0000C6000000}"/>
    <cellStyle name="Normal 27" xfId="258" xr:uid="{00000000-0005-0000-0000-0000C7000000}"/>
    <cellStyle name="Normal 28" xfId="262" xr:uid="{00000000-0005-0000-0000-0000C8000000}"/>
    <cellStyle name="Normal 29" xfId="274" xr:uid="{00000000-0005-0000-0000-0000C9000000}"/>
    <cellStyle name="Normal 3" xfId="29" xr:uid="{00000000-0005-0000-0000-00002A000000}"/>
    <cellStyle name="Normal 3 2" xfId="221" xr:uid="{00000000-0005-0000-0000-0000CB000000}"/>
    <cellStyle name="Normal 3 2 2" xfId="222" xr:uid="{00000000-0005-0000-0000-0000CC000000}"/>
    <cellStyle name="Normal 3 2 3" xfId="223" xr:uid="{00000000-0005-0000-0000-0000CD000000}"/>
    <cellStyle name="Normal 3 3" xfId="224" xr:uid="{00000000-0005-0000-0000-0000CE000000}"/>
    <cellStyle name="Normal 3 3 2" xfId="225" xr:uid="{00000000-0005-0000-0000-0000CF000000}"/>
    <cellStyle name="Normal 3 3 3" xfId="226" xr:uid="{00000000-0005-0000-0000-0000D0000000}"/>
    <cellStyle name="Normal 3 4" xfId="227" xr:uid="{00000000-0005-0000-0000-0000D1000000}"/>
    <cellStyle name="Normal 3 4 2" xfId="228" xr:uid="{00000000-0005-0000-0000-0000D2000000}"/>
    <cellStyle name="Normal 3 4 3" xfId="229" xr:uid="{00000000-0005-0000-0000-0000D3000000}"/>
    <cellStyle name="Normal 3 5" xfId="230" xr:uid="{00000000-0005-0000-0000-0000D4000000}"/>
    <cellStyle name="Normal 3 5 2" xfId="231" xr:uid="{00000000-0005-0000-0000-0000D5000000}"/>
    <cellStyle name="Normal 3 5 3" xfId="232" xr:uid="{00000000-0005-0000-0000-0000D6000000}"/>
    <cellStyle name="Normal 3 6" xfId="233" xr:uid="{00000000-0005-0000-0000-0000D7000000}"/>
    <cellStyle name="Normal 3 6 2" xfId="234" xr:uid="{00000000-0005-0000-0000-0000D8000000}"/>
    <cellStyle name="Normal 3 6 3" xfId="235" xr:uid="{00000000-0005-0000-0000-0000D9000000}"/>
    <cellStyle name="Normal 3 7" xfId="236" xr:uid="{00000000-0005-0000-0000-0000DA000000}"/>
    <cellStyle name="Normal 3 7 2" xfId="237" xr:uid="{00000000-0005-0000-0000-0000DB000000}"/>
    <cellStyle name="Normal 3 7 3" xfId="238" xr:uid="{00000000-0005-0000-0000-0000DC000000}"/>
    <cellStyle name="Normal 3 8" xfId="239" xr:uid="{00000000-0005-0000-0000-0000DD000000}"/>
    <cellStyle name="Normal 3 8 2" xfId="240" xr:uid="{00000000-0005-0000-0000-0000DE000000}"/>
    <cellStyle name="Normal 3 8 3" xfId="241" xr:uid="{00000000-0005-0000-0000-0000DF000000}"/>
    <cellStyle name="Normal 30" xfId="271" xr:uid="{00000000-0005-0000-0000-0000E0000000}"/>
    <cellStyle name="Normal 31" xfId="260" xr:uid="{00000000-0005-0000-0000-0000E1000000}"/>
    <cellStyle name="Normal 32" xfId="261" xr:uid="{00000000-0005-0000-0000-0000E2000000}"/>
    <cellStyle name="Normal 33" xfId="279" xr:uid="{00000000-0005-0000-0000-0000E3000000}"/>
    <cellStyle name="Normal 34" xfId="285" xr:uid="{00000000-0005-0000-0000-0000E4000000}"/>
    <cellStyle name="Normal 35" xfId="283" xr:uid="{00000000-0005-0000-0000-0000E5000000}"/>
    <cellStyle name="Normal 36" xfId="284" xr:uid="{00000000-0005-0000-0000-0000E6000000}"/>
    <cellStyle name="Normal 37" xfId="282" xr:uid="{00000000-0005-0000-0000-0000E7000000}"/>
    <cellStyle name="Normal 38" xfId="62" xr:uid="{00000000-0005-0000-0000-0000DC000000}"/>
    <cellStyle name="Normal 4" xfId="30" xr:uid="{00000000-0005-0000-0000-00002B000000}"/>
    <cellStyle name="Normal 4 2" xfId="57" xr:uid="{00000000-0005-0000-0000-00002C000000}"/>
    <cellStyle name="Normal 4 2 2" xfId="243" xr:uid="{00000000-0005-0000-0000-0000EA000000}"/>
    <cellStyle name="Normal 4 2 3" xfId="133" xr:uid="{00000000-0005-0000-0000-0000E9000000}"/>
    <cellStyle name="Normal 4 3" xfId="48" xr:uid="{00000000-0005-0000-0000-00002D000000}"/>
    <cellStyle name="Normal 4 3 2" xfId="244" xr:uid="{00000000-0005-0000-0000-0000EB000000}"/>
    <cellStyle name="Normal 4 4" xfId="242" xr:uid="{00000000-0005-0000-0000-0000EC000000}"/>
    <cellStyle name="Normal 4 5" xfId="259" xr:uid="{00000000-0005-0000-0000-0000ED000000}"/>
    <cellStyle name="Normal 48" xfId="31" xr:uid="{00000000-0005-0000-0000-00002E000000}"/>
    <cellStyle name="Normal 5" xfId="32" xr:uid="{00000000-0005-0000-0000-00002F000000}"/>
    <cellStyle name="Normal 5 2" xfId="49" xr:uid="{00000000-0005-0000-0000-000030000000}"/>
    <cellStyle name="Normal 5 2 2" xfId="135" xr:uid="{00000000-0005-0000-0000-0000EF000000}"/>
    <cellStyle name="Normal 5 3" xfId="245" xr:uid="{00000000-0005-0000-0000-0000F0000000}"/>
    <cellStyle name="Normal 5 4" xfId="280" xr:uid="{00000000-0005-0000-0000-0000F1000000}"/>
    <cellStyle name="Normal 6" xfId="33" xr:uid="{00000000-0005-0000-0000-000031000000}"/>
    <cellStyle name="Normal 6 2" xfId="50" xr:uid="{00000000-0005-0000-0000-000032000000}"/>
    <cellStyle name="Normal 7" xfId="34" xr:uid="{00000000-0005-0000-0000-000033000000}"/>
    <cellStyle name="Normal 7 2" xfId="51" xr:uid="{00000000-0005-0000-0000-000034000000}"/>
    <cellStyle name="Normal 7 2 2" xfId="252" xr:uid="{00000000-0005-0000-0000-0000F5000000}"/>
    <cellStyle name="Normal 7 3" xfId="277" xr:uid="{00000000-0005-0000-0000-0000F6000000}"/>
    <cellStyle name="Normal 8" xfId="35" xr:uid="{00000000-0005-0000-0000-000035000000}"/>
    <cellStyle name="Normal 8 2" xfId="52" xr:uid="{00000000-0005-0000-0000-000036000000}"/>
    <cellStyle name="Normal 9" xfId="36" xr:uid="{00000000-0005-0000-0000-000037000000}"/>
    <cellStyle name="Normal 9 2" xfId="53" xr:uid="{00000000-0005-0000-0000-000038000000}"/>
    <cellStyle name="Normal 9 2 2" xfId="253" xr:uid="{00000000-0005-0000-0000-0000FA000000}"/>
    <cellStyle name="Note 2" xfId="106" xr:uid="{00000000-0005-0000-0000-0000FC000000}"/>
    <cellStyle name="Note 2 2" xfId="246" xr:uid="{00000000-0005-0000-0000-0000FD000000}"/>
    <cellStyle name="Note 2 3" xfId="278" xr:uid="{00000000-0005-0000-0000-0000FE000000}"/>
    <cellStyle name="Note 3" xfId="117" xr:uid="{00000000-0005-0000-0000-0000FF000000}"/>
    <cellStyle name="Obično_KnjigaZIKS i Min pomorstva i saobracaja" xfId="37" xr:uid="{00000000-0005-0000-0000-000039000000}"/>
    <cellStyle name="Output 2" xfId="247" xr:uid="{00000000-0005-0000-0000-000002010000}"/>
    <cellStyle name="Output 3" xfId="74" xr:uid="{00000000-0005-0000-0000-000043010000}"/>
    <cellStyle name="Percent 2" xfId="58" xr:uid="{00000000-0005-0000-0000-00003A000000}"/>
    <cellStyle name="percentage difference" xfId="38" xr:uid="{00000000-0005-0000-0000-00003B000000}"/>
    <cellStyle name="percentage difference 2" xfId="47" xr:uid="{00000000-0005-0000-0000-00003C000000}"/>
    <cellStyle name="percentage difference 3" xfId="248" xr:uid="{00000000-0005-0000-0000-000006010000}"/>
    <cellStyle name="Publication" xfId="39" xr:uid="{00000000-0005-0000-0000-00003D000000}"/>
    <cellStyle name="Standard_Tabellenteil in EURO" xfId="134" xr:uid="{00000000-0005-0000-0000-000008010000}"/>
    <cellStyle name="Title 2" xfId="249" xr:uid="{00000000-0005-0000-0000-00000A010000}"/>
    <cellStyle name="Title 3" xfId="65" xr:uid="{00000000-0005-0000-0000-000047010000}"/>
    <cellStyle name="Total 2" xfId="250" xr:uid="{00000000-0005-0000-0000-00000C010000}"/>
    <cellStyle name="Total 3" xfId="80" xr:uid="{00000000-0005-0000-0000-000049010000}"/>
    <cellStyle name="Warning Text 2" xfId="251" xr:uid="{00000000-0005-0000-0000-00000E010000}"/>
    <cellStyle name="Warning Text 3" xfId="78" xr:uid="{00000000-0005-0000-0000-00004B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endParaRPr lang="en-US"/>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a:t>
          </a:r>
          <a:r>
            <a:rPr lang="en-US" sz="1100" b="0" i="0" u="none" strike="noStrike">
              <a:solidFill>
                <a:schemeClr val="dk1"/>
              </a:solidFill>
              <a:effectLst/>
              <a:latin typeface="+mn-lt"/>
              <a:ea typeface="+mn-ea"/>
              <a:cs typeface="+mn-cs"/>
            </a:rPr>
            <a:t>informacionom sistemu Dr</a:t>
          </a:r>
          <a:r>
            <a:rPr lang="sr-Latn-ME" sz="1100" b="0" i="0" u="none" strike="noStrike">
              <a:solidFill>
                <a:schemeClr val="dk1"/>
              </a:solidFill>
              <a:effectLst/>
              <a:latin typeface="+mn-lt"/>
              <a:ea typeface="+mn-ea"/>
              <a:cs typeface="+mn-cs"/>
            </a:rPr>
            <a:t>žavnog</a:t>
          </a:r>
          <a:r>
            <a:rPr lang="sr-Latn-ME" sz="1100" b="0" i="0" u="none" strike="noStrike" baseline="0">
              <a:solidFill>
                <a:schemeClr val="dk1"/>
              </a:solidFill>
              <a:effectLst/>
              <a:latin typeface="+mn-lt"/>
              <a:ea typeface="+mn-ea"/>
              <a:cs typeface="+mn-cs"/>
            </a:rPr>
            <a:t> trezora </a:t>
          </a:r>
          <a:r>
            <a:rPr lang="sr-Latn-CS" sz="1100" b="0" i="0" u="none" strike="noStrike">
              <a:solidFill>
                <a:schemeClr val="dk1"/>
              </a:solidFill>
              <a:effectLst/>
              <a:latin typeface="+mn-lt"/>
              <a:ea typeface="+mn-ea"/>
              <a:cs typeface="+mn-cs"/>
            </a:rPr>
            <a:t>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endParaRPr lang="sr-Latn-CS"/>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endParaRPr lang="sr-Latn-CS" sz="1100" b="1" i="1" u="none" strike="noStrike" noProof="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t>
          </a:r>
          <a:r>
            <a:rPr lang="sr-Latn-ME"/>
            <a:t>generated</a:t>
          </a:r>
          <a:r>
            <a:rPr lang="sr-Latn-ME" baseline="0"/>
            <a:t> for the State treasury Information system, as well as </a:t>
          </a:r>
          <a:r>
            <a:rPr lang="en-GB"/>
            <a:t>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endParaRPr lang="sr-Latn-ME"/>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a:t>
          </a:r>
          <a:r>
            <a:rPr lang="en-US" sz="1100" b="0" i="0" u="none" strike="noStrike" baseline="0">
              <a:solidFill>
                <a:schemeClr val="dk1"/>
              </a:solidFill>
              <a:effectLst/>
              <a:latin typeface="+mn-lt"/>
              <a:ea typeface="+mn-ea"/>
              <a:cs typeface="+mn-cs"/>
            </a:rPr>
            <a:t>3</a:t>
          </a:r>
          <a:r>
            <a:rPr lang="sr-Latn-CS" sz="1100" b="0" i="0" u="none" strike="noStrike" baseline="0">
              <a:solidFill>
                <a:schemeClr val="dk1"/>
              </a:solidFill>
              <a:effectLst/>
              <a:latin typeface="+mn-lt"/>
              <a:ea typeface="+mn-ea"/>
              <a:cs typeface="+mn-cs"/>
            </a:rPr>
            <a:t>.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a:t>
          </a:r>
          <a:r>
            <a:rPr lang="en-US" sz="1100" b="0" i="0" baseline="0">
              <a:solidFill>
                <a:schemeClr val="dk1"/>
              </a:solidFill>
              <a:effectLst/>
              <a:latin typeface="+mn-lt"/>
              <a:ea typeface="+mn-ea"/>
              <a:cs typeface="+mn-cs"/>
            </a:rPr>
            <a:t>3</a:t>
          </a:r>
          <a:r>
            <a:rPr lang="sr-Latn-ME" sz="1100" b="0" i="0" baseline="0">
              <a:solidFill>
                <a:schemeClr val="dk1"/>
              </a:solidFill>
              <a:effectLst/>
              <a:latin typeface="+mn-lt"/>
              <a:ea typeface="+mn-ea"/>
              <a:cs typeface="+mn-cs"/>
            </a:rPr>
            <a:t>.</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2"/>
  <sheetViews>
    <sheetView tabSelected="1" zoomScaleNormal="100" workbookViewId="0">
      <selection activeCell="G28" sqref="G28"/>
    </sheetView>
  </sheetViews>
  <sheetFormatPr defaultRowHeight="12.75"/>
  <cols>
    <col min="4" max="4" width="25.28515625" customWidth="1"/>
    <col min="7" max="7" width="24.28515625" customWidth="1"/>
    <col min="10" max="10" width="26.42578125" customWidth="1"/>
  </cols>
  <sheetData>
    <row r="2" spans="2:11">
      <c r="D2" s="67" t="s">
        <v>169</v>
      </c>
    </row>
    <row r="3" spans="2:11">
      <c r="D3" s="67" t="s">
        <v>181</v>
      </c>
    </row>
    <row r="4" spans="2:11">
      <c r="D4" s="67" t="s">
        <v>170</v>
      </c>
    </row>
    <row r="5" spans="2:11" ht="13.5" thickBot="1"/>
    <row r="6" spans="2:11">
      <c r="B6" s="45"/>
      <c r="C6" s="46"/>
      <c r="D6" s="46"/>
      <c r="E6" s="46"/>
      <c r="F6" s="46"/>
      <c r="G6" s="46"/>
      <c r="H6" s="46"/>
      <c r="I6" s="46"/>
      <c r="J6" s="46"/>
      <c r="K6" s="47"/>
    </row>
    <row r="7" spans="2:11">
      <c r="B7" s="48"/>
      <c r="C7" s="110" t="s">
        <v>163</v>
      </c>
      <c r="D7" s="110"/>
      <c r="E7" s="49"/>
      <c r="F7" s="110" t="s">
        <v>164</v>
      </c>
      <c r="G7" s="110"/>
      <c r="H7" s="49"/>
      <c r="I7" s="110" t="s">
        <v>165</v>
      </c>
      <c r="J7" s="110"/>
      <c r="K7" s="50"/>
    </row>
    <row r="8" spans="2:11">
      <c r="B8" s="48"/>
      <c r="C8" s="51"/>
      <c r="D8" s="49"/>
      <c r="E8" s="49"/>
      <c r="F8" s="49"/>
      <c r="G8" s="49"/>
      <c r="H8" s="49"/>
      <c r="I8" s="49"/>
      <c r="J8" s="49"/>
      <c r="K8" s="50"/>
    </row>
    <row r="9" spans="2:11" ht="15">
      <c r="B9" s="48"/>
      <c r="C9" s="52" t="s">
        <v>166</v>
      </c>
      <c r="D9" s="53"/>
      <c r="E9" s="53"/>
      <c r="F9" s="52" t="str">
        <f>+C9</f>
        <v>Prihodi/Revenues</v>
      </c>
      <c r="G9" s="54"/>
      <c r="H9" s="55"/>
      <c r="I9" s="52" t="str">
        <f>+F9</f>
        <v>Prihodi/Revenues</v>
      </c>
      <c r="J9" s="54"/>
      <c r="K9" s="50"/>
    </row>
    <row r="10" spans="2:11">
      <c r="B10" s="48"/>
      <c r="C10" s="56">
        <f>+'Centralna država-ek klas'!C6</f>
        <v>2566397555.6199999</v>
      </c>
      <c r="D10" s="57">
        <f>+'Centralna država-ek klas'!D6</f>
        <v>37.481427304451302</v>
      </c>
      <c r="E10" s="49"/>
      <c r="F10" s="58">
        <f>+'Lokalna država-ek klas '!C6</f>
        <v>374906538.47000003</v>
      </c>
      <c r="G10" s="57">
        <f>+'Lokalna država-ek klas '!D6</f>
        <v>5.4753918140449755</v>
      </c>
      <c r="H10" s="55"/>
      <c r="I10" s="58">
        <f>+'Opšta država-ek klas'!C6</f>
        <v>2941304094.0900002</v>
      </c>
      <c r="J10" s="57">
        <f>+'Opšta država-ek klas'!D6</f>
        <v>42.956819118496284</v>
      </c>
      <c r="K10" s="50"/>
    </row>
    <row r="11" spans="2:11">
      <c r="B11" s="48"/>
      <c r="C11" s="59" t="s">
        <v>161</v>
      </c>
      <c r="D11" s="59" t="s">
        <v>162</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167</v>
      </c>
      <c r="D13" s="55"/>
      <c r="E13" s="49"/>
      <c r="F13" s="52" t="str">
        <f>+C13</f>
        <v>Rashodi/Expenditures</v>
      </c>
      <c r="G13" s="54"/>
      <c r="H13" s="55"/>
      <c r="I13" s="52" t="str">
        <f>+F13</f>
        <v>Rashodi/Expenditures</v>
      </c>
      <c r="J13" s="54"/>
      <c r="K13" s="50"/>
    </row>
    <row r="14" spans="2:11">
      <c r="B14" s="48"/>
      <c r="C14" s="56">
        <f>+'Centralna država-ek klas'!C39</f>
        <v>2556098011.4199996</v>
      </c>
      <c r="D14" s="57">
        <f>+'Centralna država-ek klas'!D39</f>
        <v>37.331005708094992</v>
      </c>
      <c r="E14" s="49"/>
      <c r="F14" s="58">
        <f>+'Lokalna država-ek klas '!C37</f>
        <v>343957625.10999995</v>
      </c>
      <c r="G14" s="57">
        <f>+'Lokalna država-ek klas '!D37</f>
        <v>5.0233926903260606</v>
      </c>
      <c r="H14" s="55"/>
      <c r="I14" s="58">
        <f>+'Opšta država-ek klas'!C27</f>
        <v>2900055636.5299997</v>
      </c>
      <c r="J14" s="57">
        <f>+'Opšta država-ek klas'!D27</f>
        <v>42.354398398421054</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168</v>
      </c>
      <c r="D17" s="49"/>
      <c r="E17" s="49"/>
      <c r="F17" s="52" t="str">
        <f>+C17</f>
        <v>Budžetski bilans/ Budget balance</v>
      </c>
      <c r="G17" s="54"/>
      <c r="H17" s="55"/>
      <c r="I17" s="52" t="str">
        <f>+F17</f>
        <v>Budžetski bilans/ Budget balance</v>
      </c>
      <c r="J17" s="54"/>
      <c r="K17" s="50"/>
    </row>
    <row r="18" spans="2:11">
      <c r="B18" s="48"/>
      <c r="C18" s="56">
        <f>+'Centralna država-ek klas'!C62</f>
        <v>10299544.200000286</v>
      </c>
      <c r="D18" s="57">
        <f>+'Centralna država-ek klas'!D62</f>
        <v>0.15042159635631058</v>
      </c>
      <c r="E18" s="49"/>
      <c r="F18" s="58">
        <f>+'Lokalna država-ek klas '!C55</f>
        <v>30948913.360000074</v>
      </c>
      <c r="G18" s="57">
        <f>+'Lokalna država-ek klas '!D55</f>
        <v>0.4519991237189146</v>
      </c>
      <c r="H18" s="55"/>
      <c r="I18" s="58">
        <f>+'Opšta država-ek klas'!C45</f>
        <v>41248457.56000042</v>
      </c>
      <c r="J18" s="57">
        <f>+'Opšta država-ek klas'!D45</f>
        <v>0.60242072007522618</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23" spans="2:11">
      <c r="D23" s="92"/>
    </row>
    <row r="24" spans="2:11">
      <c r="D24" s="92"/>
    </row>
    <row r="25" spans="2:11">
      <c r="D25" s="92"/>
    </row>
    <row r="41" spans="19:19" ht="15">
      <c r="S41" s="68"/>
    </row>
    <row r="42" spans="19:19" ht="15">
      <c r="S42" s="68"/>
    </row>
  </sheetData>
  <sheetProtection algorithmName="SHA-512" hashValue="oSJzall0CmSMxKoAKb0/vAoq8jjnsqCCLUvZNTjbbkB/b/hLqFn3i1FzzAdLF+ht0UDFOtmMy+MCF1wanIuUsw==" saltValue="WVBJS0BfNNLNk5UO43vD1g=="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A82"/>
  <sheetViews>
    <sheetView zoomScale="90" zoomScaleNormal="90" zoomScaleSheetLayoutView="90" workbookViewId="0">
      <pane ySplit="5" topLeftCell="A60" activePane="bottomLeft" state="frozen"/>
      <selection activeCell="G14" sqref="G14"/>
      <selection pane="bottomLeft" activeCell="C74" sqref="C74:C75"/>
    </sheetView>
  </sheetViews>
  <sheetFormatPr defaultColWidth="9.140625" defaultRowHeight="13.5"/>
  <cols>
    <col min="1" max="1" width="13.28515625" style="4" customWidth="1"/>
    <col min="2" max="2" width="65.7109375" style="4" bestFit="1" customWidth="1"/>
    <col min="3" max="3" width="12.28515625" style="6" customWidth="1"/>
    <col min="4" max="4" width="9.7109375" style="4" customWidth="1"/>
    <col min="5" max="5" width="10.5703125" style="6" customWidth="1"/>
    <col min="6" max="6" width="10.140625" style="7" customWidth="1"/>
    <col min="7" max="7" width="11.140625" style="6" customWidth="1"/>
    <col min="8" max="8" width="11.5703125" style="100" customWidth="1"/>
    <col min="9" max="9" width="11.140625" style="6" customWidth="1"/>
    <col min="10" max="10" width="10.28515625" style="7" customWidth="1"/>
    <col min="11" max="11" width="10.7109375" style="6" customWidth="1"/>
    <col min="12" max="12" width="12" style="100" customWidth="1"/>
    <col min="13" max="13" width="59.5703125" style="4" bestFit="1" customWidth="1"/>
    <col min="14" max="14" width="9.140625" style="1"/>
    <col min="15" max="16" width="13.85546875" style="1" bestFit="1" customWidth="1"/>
    <col min="17" max="16384" width="9.140625" style="1"/>
  </cols>
  <sheetData>
    <row r="1" spans="1:13" ht="18.75" customHeight="1" thickBot="1">
      <c r="B1" s="5"/>
      <c r="M1" s="5"/>
    </row>
    <row r="2" spans="1:13" ht="15.75" customHeight="1" thickBot="1">
      <c r="A2" s="8" t="s">
        <v>58</v>
      </c>
      <c r="B2" s="8"/>
      <c r="C2" s="111">
        <v>6847118000</v>
      </c>
      <c r="D2" s="112"/>
      <c r="E2" s="111">
        <v>6624300000</v>
      </c>
      <c r="F2" s="112"/>
      <c r="G2" s="9"/>
      <c r="H2" s="101"/>
      <c r="I2" s="111">
        <v>5796761000</v>
      </c>
      <c r="J2" s="112"/>
      <c r="K2" s="85"/>
      <c r="L2" s="101"/>
      <c r="M2" s="8" t="s">
        <v>78</v>
      </c>
    </row>
    <row r="3" spans="1:13" ht="15" customHeight="1" thickBot="1">
      <c r="A3" s="8"/>
      <c r="B3" s="8"/>
      <c r="C3" s="11"/>
      <c r="D3" s="8"/>
      <c r="E3" s="11"/>
      <c r="F3" s="10"/>
      <c r="G3" s="11"/>
      <c r="H3" s="101"/>
      <c r="I3" s="11"/>
      <c r="J3" s="10"/>
      <c r="K3" s="11"/>
      <c r="L3" s="101"/>
      <c r="M3" s="8"/>
    </row>
    <row r="4" spans="1:13" ht="15" customHeight="1">
      <c r="A4" s="117" t="s">
        <v>70</v>
      </c>
      <c r="B4" s="115" t="s">
        <v>71</v>
      </c>
      <c r="C4" s="121" t="s">
        <v>191</v>
      </c>
      <c r="D4" s="122"/>
      <c r="E4" s="123" t="s">
        <v>190</v>
      </c>
      <c r="F4" s="124"/>
      <c r="G4" s="119" t="s">
        <v>171</v>
      </c>
      <c r="H4" s="120"/>
      <c r="I4" s="119" t="s">
        <v>189</v>
      </c>
      <c r="J4" s="120"/>
      <c r="K4" s="119" t="s">
        <v>171</v>
      </c>
      <c r="L4" s="120"/>
      <c r="M4" s="113" t="s">
        <v>148</v>
      </c>
    </row>
    <row r="5" spans="1:13" ht="27" customHeight="1">
      <c r="A5" s="118"/>
      <c r="B5" s="116"/>
      <c r="C5" s="12" t="s">
        <v>61</v>
      </c>
      <c r="D5" s="13" t="s">
        <v>56</v>
      </c>
      <c r="E5" s="12" t="s">
        <v>61</v>
      </c>
      <c r="F5" s="13" t="s">
        <v>56</v>
      </c>
      <c r="G5" s="12" t="s">
        <v>64</v>
      </c>
      <c r="H5" s="102" t="s">
        <v>62</v>
      </c>
      <c r="I5" s="12" t="s">
        <v>61</v>
      </c>
      <c r="J5" s="14" t="s">
        <v>56</v>
      </c>
      <c r="K5" s="12" t="s">
        <v>61</v>
      </c>
      <c r="L5" s="104" t="s">
        <v>62</v>
      </c>
      <c r="M5" s="114"/>
    </row>
    <row r="6" spans="1:13" ht="15" customHeight="1">
      <c r="A6" s="15"/>
      <c r="B6" s="16" t="s">
        <v>51</v>
      </c>
      <c r="C6" s="17">
        <f>+C7+C15+C20+C25+C32+C37+C38</f>
        <v>2566397555.6199999</v>
      </c>
      <c r="D6" s="39">
        <f>+C6/$C$2*100</f>
        <v>37.481427304451302</v>
      </c>
      <c r="E6" s="17">
        <f>+E7+E15+E20+E25+E32+E37+E38</f>
        <v>2422783971.703506</v>
      </c>
      <c r="F6" s="39">
        <f>+E6/$E$2*100</f>
        <v>36.574188543748107</v>
      </c>
      <c r="G6" s="17">
        <f>+C6-E6</f>
        <v>143613583.91649389</v>
      </c>
      <c r="H6" s="97">
        <f t="shared" ref="H6:H9" si="0">IFERROR(C6/E6*100-100,0)</f>
        <v>5.9276264658262789</v>
      </c>
      <c r="I6" s="17">
        <f>+I7+I15+I20+I25+I32+I37+I38</f>
        <v>1995407538.25</v>
      </c>
      <c r="J6" s="39">
        <f>IFERROR(I6/$I$2*100,0)</f>
        <v>34.422801599893461</v>
      </c>
      <c r="K6" s="17">
        <f>+C6-I6</f>
        <v>570990017.36999989</v>
      </c>
      <c r="L6" s="97">
        <f>IFERROR(C6/I6*100-100,0)</f>
        <v>28.615207992587131</v>
      </c>
      <c r="M6" s="82" t="s">
        <v>149</v>
      </c>
    </row>
    <row r="7" spans="1:13" ht="15" customHeight="1">
      <c r="A7" s="18">
        <v>711</v>
      </c>
      <c r="B7" s="19" t="s">
        <v>1</v>
      </c>
      <c r="C7" s="20">
        <f>+SUM(C8:C14)</f>
        <v>1666016479.5300002</v>
      </c>
      <c r="D7" s="40">
        <f t="shared" ref="D7:D72" si="1">+C7/$C$2*100</f>
        <v>24.331645511732091</v>
      </c>
      <c r="E7" s="20">
        <f>+SUM(E8:E14)</f>
        <v>1581306556.7265537</v>
      </c>
      <c r="F7" s="40">
        <f t="shared" ref="F7:F38" si="2">+E7/$E$2*100</f>
        <v>23.871300465355642</v>
      </c>
      <c r="G7" s="20">
        <f t="shared" ref="G7:G62" si="3">+C7-E7</f>
        <v>84709922.803446531</v>
      </c>
      <c r="H7" s="93">
        <f t="shared" si="0"/>
        <v>5.356957665362728</v>
      </c>
      <c r="I7" s="20">
        <f>+SUM(I8:I14)</f>
        <v>1381133155.4100001</v>
      </c>
      <c r="J7" s="40">
        <f t="shared" ref="J7:J70" si="4">IFERROR(I7/$I$2*100,0)</f>
        <v>23.825946169076147</v>
      </c>
      <c r="K7" s="20">
        <f t="shared" ref="K7:K38" si="5">+C7-I7</f>
        <v>284883324.12000012</v>
      </c>
      <c r="L7" s="93">
        <f t="shared" ref="L7:L70" si="6">IFERROR(C7/I7*100-100,0)</f>
        <v>20.62678192932313</v>
      </c>
      <c r="M7" s="73" t="s">
        <v>79</v>
      </c>
    </row>
    <row r="8" spans="1:13" ht="15" customHeight="1">
      <c r="A8" s="21">
        <v>7111</v>
      </c>
      <c r="B8" s="22" t="s">
        <v>2</v>
      </c>
      <c r="C8" s="23">
        <v>66411591</v>
      </c>
      <c r="D8" s="41">
        <f t="shared" si="1"/>
        <v>0.96992035189111681</v>
      </c>
      <c r="E8" s="23">
        <v>62298253.663200013</v>
      </c>
      <c r="F8" s="41">
        <f t="shared" si="2"/>
        <v>0.94045036703047891</v>
      </c>
      <c r="G8" s="23">
        <f t="shared" si="3"/>
        <v>4113337.3367999867</v>
      </c>
      <c r="H8" s="98">
        <f t="shared" si="0"/>
        <v>6.6026527148541163</v>
      </c>
      <c r="I8" s="23">
        <v>83041010.099999994</v>
      </c>
      <c r="J8" s="41">
        <f t="shared" si="4"/>
        <v>1.4325415538091013</v>
      </c>
      <c r="K8" s="23">
        <f t="shared" si="5"/>
        <v>-16629419.099999994</v>
      </c>
      <c r="L8" s="98">
        <f t="shared" si="6"/>
        <v>-20.025550122733875</v>
      </c>
      <c r="M8" s="74" t="s">
        <v>80</v>
      </c>
    </row>
    <row r="9" spans="1:13" ht="15" customHeight="1">
      <c r="A9" s="21">
        <v>7112</v>
      </c>
      <c r="B9" s="22" t="s">
        <v>3</v>
      </c>
      <c r="C9" s="23">
        <v>151284476.47</v>
      </c>
      <c r="D9" s="41">
        <f t="shared" si="1"/>
        <v>2.2094620900355451</v>
      </c>
      <c r="E9" s="23">
        <v>134648421.1653218</v>
      </c>
      <c r="F9" s="41">
        <f t="shared" si="2"/>
        <v>2.0326437686294674</v>
      </c>
      <c r="G9" s="23">
        <f t="shared" si="3"/>
        <v>16636055.304678202</v>
      </c>
      <c r="H9" s="98">
        <f t="shared" si="0"/>
        <v>12.355180373227242</v>
      </c>
      <c r="I9" s="23">
        <v>90169159.159999996</v>
      </c>
      <c r="J9" s="41">
        <f t="shared" si="4"/>
        <v>1.5555093466851573</v>
      </c>
      <c r="K9" s="23">
        <f t="shared" si="5"/>
        <v>61115317.310000002</v>
      </c>
      <c r="L9" s="98">
        <f t="shared" si="6"/>
        <v>67.778515269898861</v>
      </c>
      <c r="M9" s="74" t="s">
        <v>81</v>
      </c>
    </row>
    <row r="10" spans="1:13" ht="15" customHeight="1">
      <c r="A10" s="21">
        <v>7113</v>
      </c>
      <c r="B10" s="22" t="s">
        <v>4</v>
      </c>
      <c r="C10" s="23">
        <v>0</v>
      </c>
      <c r="D10" s="41">
        <f t="shared" si="1"/>
        <v>0</v>
      </c>
      <c r="E10" s="23">
        <v>0</v>
      </c>
      <c r="F10" s="41">
        <f t="shared" si="2"/>
        <v>0</v>
      </c>
      <c r="G10" s="23">
        <f t="shared" si="3"/>
        <v>0</v>
      </c>
      <c r="H10" s="98">
        <f>IFERROR(C10/E10*100-100,0)</f>
        <v>0</v>
      </c>
      <c r="I10" s="23">
        <v>1481541.77</v>
      </c>
      <c r="J10" s="41">
        <f t="shared" si="4"/>
        <v>2.5558096495611946E-2</v>
      </c>
      <c r="K10" s="23">
        <f t="shared" si="5"/>
        <v>-1481541.77</v>
      </c>
      <c r="L10" s="98">
        <f t="shared" si="6"/>
        <v>-100</v>
      </c>
      <c r="M10" s="74" t="s">
        <v>82</v>
      </c>
    </row>
    <row r="11" spans="1:13" ht="15" customHeight="1">
      <c r="A11" s="21">
        <v>7114</v>
      </c>
      <c r="B11" s="22" t="s">
        <v>5</v>
      </c>
      <c r="C11" s="23">
        <v>1059267077.4700001</v>
      </c>
      <c r="D11" s="41">
        <f t="shared" si="1"/>
        <v>15.470261757866597</v>
      </c>
      <c r="E11" s="23">
        <v>1028042967.1590319</v>
      </c>
      <c r="F11" s="41">
        <f t="shared" si="2"/>
        <v>15.519269464834501</v>
      </c>
      <c r="G11" s="23">
        <f t="shared" si="3"/>
        <v>31224110.31096828</v>
      </c>
      <c r="H11" s="98">
        <f t="shared" ref="H11:H74" si="7">IFERROR(C11/E11*100-100,0)</f>
        <v>3.0372378692745912</v>
      </c>
      <c r="I11" s="23">
        <v>908047104.25999999</v>
      </c>
      <c r="J11" s="41">
        <f t="shared" si="4"/>
        <v>15.66473249906284</v>
      </c>
      <c r="K11" s="23">
        <f t="shared" si="5"/>
        <v>151219973.21000016</v>
      </c>
      <c r="L11" s="98">
        <f t="shared" si="6"/>
        <v>16.653318148427417</v>
      </c>
      <c r="M11" s="74" t="s">
        <v>83</v>
      </c>
    </row>
    <row r="12" spans="1:13" ht="15" customHeight="1">
      <c r="A12" s="21">
        <v>7115</v>
      </c>
      <c r="B12" s="22" t="s">
        <v>6</v>
      </c>
      <c r="C12" s="23">
        <v>323121644.95999998</v>
      </c>
      <c r="D12" s="41">
        <f t="shared" si="1"/>
        <v>4.7190897682791499</v>
      </c>
      <c r="E12" s="23">
        <v>296409200</v>
      </c>
      <c r="F12" s="41">
        <f t="shared" si="2"/>
        <v>4.4745739172440864</v>
      </c>
      <c r="G12" s="23">
        <f t="shared" si="3"/>
        <v>26712444.959999979</v>
      </c>
      <c r="H12" s="98">
        <f t="shared" si="7"/>
        <v>9.0120161452478413</v>
      </c>
      <c r="I12" s="23">
        <v>245872611.77000001</v>
      </c>
      <c r="J12" s="41">
        <f t="shared" si="4"/>
        <v>4.2415516487569525</v>
      </c>
      <c r="K12" s="23">
        <f t="shared" si="5"/>
        <v>77249033.189999968</v>
      </c>
      <c r="L12" s="98">
        <f t="shared" si="6"/>
        <v>31.418315620392093</v>
      </c>
      <c r="M12" s="74" t="s">
        <v>84</v>
      </c>
    </row>
    <row r="13" spans="1:13" ht="15" customHeight="1">
      <c r="A13" s="21">
        <v>7116</v>
      </c>
      <c r="B13" s="22" t="s">
        <v>7</v>
      </c>
      <c r="C13" s="23">
        <v>52191310.710000001</v>
      </c>
      <c r="D13" s="41">
        <f t="shared" si="1"/>
        <v>0.76223764085853352</v>
      </c>
      <c r="E13" s="23">
        <v>47650000</v>
      </c>
      <c r="F13" s="41">
        <f t="shared" si="2"/>
        <v>0.71932128677747076</v>
      </c>
      <c r="G13" s="23">
        <f t="shared" si="3"/>
        <v>4541310.7100000009</v>
      </c>
      <c r="H13" s="98">
        <f t="shared" si="7"/>
        <v>9.5305576285414446</v>
      </c>
      <c r="I13" s="23">
        <v>40239493.630000003</v>
      </c>
      <c r="J13" s="41">
        <f t="shared" si="4"/>
        <v>0.69417203210551548</v>
      </c>
      <c r="K13" s="23">
        <f t="shared" si="5"/>
        <v>11951817.079999998</v>
      </c>
      <c r="L13" s="98">
        <f t="shared" si="6"/>
        <v>29.701708450648823</v>
      </c>
      <c r="M13" s="74" t="s">
        <v>85</v>
      </c>
    </row>
    <row r="14" spans="1:13" ht="15" customHeight="1">
      <c r="A14" s="21">
        <v>7118</v>
      </c>
      <c r="B14" s="22" t="s">
        <v>60</v>
      </c>
      <c r="C14" s="23">
        <v>13740378.920000002</v>
      </c>
      <c r="D14" s="41">
        <f t="shared" si="1"/>
        <v>0.20067390280114938</v>
      </c>
      <c r="E14" s="23">
        <v>12257714.739000088</v>
      </c>
      <c r="F14" s="41">
        <f t="shared" si="2"/>
        <v>0.18504166083963719</v>
      </c>
      <c r="G14" s="23">
        <f t="shared" si="3"/>
        <v>1482664.1809999142</v>
      </c>
      <c r="H14" s="98">
        <f t="shared" si="7"/>
        <v>12.095763464641209</v>
      </c>
      <c r="I14" s="23">
        <v>12282234.720000001</v>
      </c>
      <c r="J14" s="41">
        <f t="shared" si="4"/>
        <v>0.21188099216096715</v>
      </c>
      <c r="K14" s="23">
        <f t="shared" si="5"/>
        <v>1458144.2000000011</v>
      </c>
      <c r="L14" s="98">
        <f t="shared" si="6"/>
        <v>11.871977968517442</v>
      </c>
      <c r="M14" s="74" t="s">
        <v>86</v>
      </c>
    </row>
    <row r="15" spans="1:13" ht="15" customHeight="1">
      <c r="A15" s="18">
        <v>712</v>
      </c>
      <c r="B15" s="19" t="s">
        <v>8</v>
      </c>
      <c r="C15" s="20">
        <f>+SUM(C16:C19)</f>
        <v>575730590.25</v>
      </c>
      <c r="D15" s="40">
        <f t="shared" si="1"/>
        <v>8.4083637853181443</v>
      </c>
      <c r="E15" s="20">
        <f>+SUM(E16:E19)</f>
        <v>512225546.84560192</v>
      </c>
      <c r="F15" s="40">
        <f t="shared" si="2"/>
        <v>7.7325233888199802</v>
      </c>
      <c r="G15" s="20">
        <f t="shared" si="3"/>
        <v>63505043.404398084</v>
      </c>
      <c r="H15" s="93">
        <f t="shared" si="7"/>
        <v>12.397867266768742</v>
      </c>
      <c r="I15" s="20">
        <f>+SUM(I16:I19)</f>
        <v>462797044.29000002</v>
      </c>
      <c r="J15" s="40">
        <f t="shared" si="4"/>
        <v>7.9837178777941693</v>
      </c>
      <c r="K15" s="20">
        <f t="shared" si="5"/>
        <v>112933545.95999998</v>
      </c>
      <c r="L15" s="93">
        <f t="shared" si="6"/>
        <v>24.402391362126565</v>
      </c>
      <c r="M15" s="73" t="s">
        <v>87</v>
      </c>
    </row>
    <row r="16" spans="1:13" ht="15" customHeight="1">
      <c r="A16" s="21">
        <v>7121</v>
      </c>
      <c r="B16" s="22" t="s">
        <v>9</v>
      </c>
      <c r="C16" s="23">
        <v>526512246.37</v>
      </c>
      <c r="D16" s="41">
        <f t="shared" si="1"/>
        <v>7.6895453878551523</v>
      </c>
      <c r="E16" s="23">
        <v>473725546.84560192</v>
      </c>
      <c r="F16" s="41">
        <f t="shared" si="2"/>
        <v>7.1513299042253813</v>
      </c>
      <c r="G16" s="23">
        <f t="shared" si="3"/>
        <v>52786699.524398088</v>
      </c>
      <c r="H16" s="98">
        <f t="shared" si="7"/>
        <v>11.142886398229763</v>
      </c>
      <c r="I16" s="23">
        <v>405895277.20999998</v>
      </c>
      <c r="J16" s="41">
        <f t="shared" si="4"/>
        <v>7.0021047479790859</v>
      </c>
      <c r="K16" s="23">
        <f t="shared" si="5"/>
        <v>120616969.16000003</v>
      </c>
      <c r="L16" s="98">
        <f t="shared" si="6"/>
        <v>29.71627804814193</v>
      </c>
      <c r="M16" s="74" t="s">
        <v>88</v>
      </c>
    </row>
    <row r="17" spans="1:13" ht="15" customHeight="1">
      <c r="A17" s="21">
        <v>7122</v>
      </c>
      <c r="B17" s="22" t="s">
        <v>10</v>
      </c>
      <c r="C17" s="23">
        <v>7030542.8399999989</v>
      </c>
      <c r="D17" s="41">
        <f t="shared" si="1"/>
        <v>0.10267886196791115</v>
      </c>
      <c r="E17" s="23">
        <v>1500000</v>
      </c>
      <c r="F17" s="41">
        <f t="shared" si="2"/>
        <v>2.2643901997192156E-2</v>
      </c>
      <c r="G17" s="23">
        <f t="shared" si="3"/>
        <v>5530542.8399999989</v>
      </c>
      <c r="H17" s="98">
        <f t="shared" si="7"/>
        <v>368.70285599999988</v>
      </c>
      <c r="I17" s="23">
        <v>25055179.93</v>
      </c>
      <c r="J17" s="41">
        <f t="shared" si="4"/>
        <v>0.43222723741758545</v>
      </c>
      <c r="K17" s="23">
        <f t="shared" si="5"/>
        <v>-18024637.09</v>
      </c>
      <c r="L17" s="98">
        <f t="shared" si="6"/>
        <v>-71.939763116281085</v>
      </c>
      <c r="M17" s="74" t="s">
        <v>89</v>
      </c>
    </row>
    <row r="18" spans="1:13" ht="15" customHeight="1">
      <c r="A18" s="21">
        <v>7123</v>
      </c>
      <c r="B18" s="22" t="s">
        <v>11</v>
      </c>
      <c r="C18" s="23">
        <v>24220167.09</v>
      </c>
      <c r="D18" s="41">
        <f t="shared" si="1"/>
        <v>0.35372790552171002</v>
      </c>
      <c r="E18" s="23">
        <v>22000000</v>
      </c>
      <c r="F18" s="41">
        <f t="shared" si="2"/>
        <v>0.33211056262548494</v>
      </c>
      <c r="G18" s="23">
        <f t="shared" si="3"/>
        <v>2220167.09</v>
      </c>
      <c r="H18" s="98">
        <f t="shared" si="7"/>
        <v>10.09166859090908</v>
      </c>
      <c r="I18" s="23">
        <v>18395128.239999998</v>
      </c>
      <c r="J18" s="41">
        <f t="shared" si="4"/>
        <v>0.31733459840762795</v>
      </c>
      <c r="K18" s="23">
        <f t="shared" si="5"/>
        <v>5825038.8500000015</v>
      </c>
      <c r="L18" s="98">
        <f t="shared" si="6"/>
        <v>31.666204084043954</v>
      </c>
      <c r="M18" s="74" t="s">
        <v>90</v>
      </c>
    </row>
    <row r="19" spans="1:13" ht="15" customHeight="1">
      <c r="A19" s="21">
        <v>7124</v>
      </c>
      <c r="B19" s="22" t="s">
        <v>12</v>
      </c>
      <c r="C19" s="23">
        <v>17967633.949999999</v>
      </c>
      <c r="D19" s="41">
        <f t="shared" si="1"/>
        <v>0.26241162997336981</v>
      </c>
      <c r="E19" s="23">
        <v>15000000</v>
      </c>
      <c r="F19" s="41">
        <f t="shared" si="2"/>
        <v>0.22643901997192159</v>
      </c>
      <c r="G19" s="23">
        <f t="shared" si="3"/>
        <v>2967633.9499999993</v>
      </c>
      <c r="H19" s="98">
        <f t="shared" si="7"/>
        <v>19.784226333333322</v>
      </c>
      <c r="I19" s="23">
        <v>13451458.91</v>
      </c>
      <c r="J19" s="41">
        <f t="shared" si="4"/>
        <v>0.23205129398986779</v>
      </c>
      <c r="K19" s="23">
        <f t="shared" si="5"/>
        <v>4516175.0399999991</v>
      </c>
      <c r="L19" s="98">
        <f t="shared" si="6"/>
        <v>33.573867862337323</v>
      </c>
      <c r="M19" s="74" t="s">
        <v>91</v>
      </c>
    </row>
    <row r="20" spans="1:13" ht="15" customHeight="1">
      <c r="A20" s="18">
        <v>713</v>
      </c>
      <c r="B20" s="19" t="s">
        <v>13</v>
      </c>
      <c r="C20" s="20">
        <f>SUM(C21:C24)</f>
        <v>15958058.429999998</v>
      </c>
      <c r="D20" s="40">
        <f t="shared" si="1"/>
        <v>0.23306241297433458</v>
      </c>
      <c r="E20" s="20">
        <f>+SUM(E21:E24)</f>
        <v>14498595.505600002</v>
      </c>
      <c r="F20" s="40">
        <f t="shared" si="2"/>
        <v>0.21886985048382473</v>
      </c>
      <c r="G20" s="20">
        <f t="shared" si="3"/>
        <v>1459462.9243999962</v>
      </c>
      <c r="H20" s="93">
        <f t="shared" si="7"/>
        <v>10.066236580200382</v>
      </c>
      <c r="I20" s="20">
        <f>+SUM(I21:I24)</f>
        <v>14770367.419999998</v>
      </c>
      <c r="J20" s="40">
        <f t="shared" si="4"/>
        <v>0.25480380198528108</v>
      </c>
      <c r="K20" s="20">
        <f t="shared" si="5"/>
        <v>1187691.0099999998</v>
      </c>
      <c r="L20" s="93">
        <f t="shared" si="6"/>
        <v>8.0410390359808588</v>
      </c>
      <c r="M20" s="73" t="s">
        <v>92</v>
      </c>
    </row>
    <row r="21" spans="1:13" ht="15" customHeight="1">
      <c r="A21" s="21">
        <v>7131</v>
      </c>
      <c r="B21" s="22" t="s">
        <v>14</v>
      </c>
      <c r="C21" s="23">
        <v>9770328.6199999992</v>
      </c>
      <c r="D21" s="41">
        <f t="shared" si="1"/>
        <v>0.1426925696329463</v>
      </c>
      <c r="E21" s="23">
        <v>8810143.2249600012</v>
      </c>
      <c r="F21" s="41">
        <f t="shared" si="2"/>
        <v>0.13299734651148046</v>
      </c>
      <c r="G21" s="23">
        <f t="shared" si="3"/>
        <v>960185.39503999799</v>
      </c>
      <c r="H21" s="98">
        <f t="shared" si="7"/>
        <v>10.898635476432418</v>
      </c>
      <c r="I21" s="23">
        <v>9240513.9100000001</v>
      </c>
      <c r="J21" s="41">
        <f t="shared" si="4"/>
        <v>0.15940822659412732</v>
      </c>
      <c r="K21" s="23">
        <f t="shared" si="5"/>
        <v>529814.70999999903</v>
      </c>
      <c r="L21" s="98">
        <f t="shared" si="6"/>
        <v>5.7336065413703636</v>
      </c>
      <c r="M21" s="74" t="s">
        <v>93</v>
      </c>
    </row>
    <row r="22" spans="1:13" ht="15" customHeight="1">
      <c r="A22" s="21">
        <v>7132</v>
      </c>
      <c r="B22" s="22" t="s">
        <v>15</v>
      </c>
      <c r="C22" s="23">
        <v>1189900.3599999999</v>
      </c>
      <c r="D22" s="41">
        <f t="shared" si="1"/>
        <v>1.7378119670202849E-2</v>
      </c>
      <c r="E22" s="23">
        <v>925353.72863999999</v>
      </c>
      <c r="F22" s="41">
        <f t="shared" si="2"/>
        <v>1.3969079429373669E-2</v>
      </c>
      <c r="G22" s="23">
        <f t="shared" si="3"/>
        <v>264546.63135999988</v>
      </c>
      <c r="H22" s="98">
        <f t="shared" si="7"/>
        <v>28.588703235551463</v>
      </c>
      <c r="I22" s="23">
        <v>1028558.04</v>
      </c>
      <c r="J22" s="41">
        <f t="shared" si="4"/>
        <v>1.7743668231276051E-2</v>
      </c>
      <c r="K22" s="23">
        <f t="shared" si="5"/>
        <v>161342.31999999983</v>
      </c>
      <c r="L22" s="98">
        <f t="shared" si="6"/>
        <v>15.686263071746524</v>
      </c>
      <c r="M22" s="74" t="s">
        <v>94</v>
      </c>
    </row>
    <row r="23" spans="1:13" ht="15" customHeight="1">
      <c r="A23" s="21">
        <v>7133</v>
      </c>
      <c r="B23" s="22" t="s">
        <v>16</v>
      </c>
      <c r="C23" s="23">
        <v>2282239.46</v>
      </c>
      <c r="D23" s="41">
        <f t="shared" si="1"/>
        <v>3.3331387891956873E-2</v>
      </c>
      <c r="E23" s="23">
        <v>2500000</v>
      </c>
      <c r="F23" s="41">
        <f t="shared" si="2"/>
        <v>3.7739836661986929E-2</v>
      </c>
      <c r="G23" s="23">
        <f t="shared" si="3"/>
        <v>-217760.54000000004</v>
      </c>
      <c r="H23" s="98">
        <f t="shared" si="7"/>
        <v>-8.7104216000000037</v>
      </c>
      <c r="I23" s="23">
        <v>1791177.88</v>
      </c>
      <c r="J23" s="41">
        <f t="shared" si="4"/>
        <v>3.0899633088202184E-2</v>
      </c>
      <c r="K23" s="23">
        <f t="shared" si="5"/>
        <v>491061.58000000007</v>
      </c>
      <c r="L23" s="98">
        <f t="shared" si="6"/>
        <v>27.415567458883544</v>
      </c>
      <c r="M23" s="74" t="s">
        <v>95</v>
      </c>
    </row>
    <row r="24" spans="1:13" ht="15" customHeight="1">
      <c r="A24" s="21">
        <v>7136</v>
      </c>
      <c r="B24" s="22" t="s">
        <v>18</v>
      </c>
      <c r="C24" s="23">
        <v>2715589.99</v>
      </c>
      <c r="D24" s="41">
        <f t="shared" si="1"/>
        <v>3.9660335779228582E-2</v>
      </c>
      <c r="E24" s="23">
        <v>2263098.5520000001</v>
      </c>
      <c r="F24" s="41">
        <f t="shared" si="2"/>
        <v>3.4163587880983656E-2</v>
      </c>
      <c r="G24" s="23">
        <f t="shared" si="3"/>
        <v>452491.43800000008</v>
      </c>
      <c r="H24" s="98">
        <f t="shared" si="7"/>
        <v>19.994332001145665</v>
      </c>
      <c r="I24" s="23">
        <v>2710117.59</v>
      </c>
      <c r="J24" s="41">
        <f t="shared" si="4"/>
        <v>4.6752274071675537E-2</v>
      </c>
      <c r="K24" s="23">
        <f t="shared" si="5"/>
        <v>5472.4000000003725</v>
      </c>
      <c r="L24" s="98">
        <f t="shared" si="6"/>
        <v>0.20192481758698477</v>
      </c>
      <c r="M24" s="74" t="s">
        <v>96</v>
      </c>
    </row>
    <row r="25" spans="1:13" ht="15" customHeight="1">
      <c r="A25" s="18">
        <v>714</v>
      </c>
      <c r="B25" s="19" t="s">
        <v>19</v>
      </c>
      <c r="C25" s="20">
        <f>+SUM(C26:C31)</f>
        <v>55717585.719999999</v>
      </c>
      <c r="D25" s="40">
        <f t="shared" si="1"/>
        <v>0.81373777580582074</v>
      </c>
      <c r="E25" s="20">
        <f>+SUM(E26:E31)</f>
        <v>45959207.071750499</v>
      </c>
      <c r="F25" s="40">
        <f t="shared" si="2"/>
        <v>0.69379718720091932</v>
      </c>
      <c r="G25" s="20">
        <f t="shared" si="3"/>
        <v>9758378.6482494995</v>
      </c>
      <c r="H25" s="93">
        <f t="shared" si="7"/>
        <v>21.232695840498138</v>
      </c>
      <c r="I25" s="20">
        <f>+SUM(I26:I31)</f>
        <v>72750276.989999995</v>
      </c>
      <c r="J25" s="40">
        <f t="shared" si="4"/>
        <v>1.2550159820285844</v>
      </c>
      <c r="K25" s="20">
        <f t="shared" si="5"/>
        <v>-17032691.269999996</v>
      </c>
      <c r="L25" s="93">
        <f t="shared" si="6"/>
        <v>-23.412544906655469</v>
      </c>
      <c r="M25" s="73" t="s">
        <v>97</v>
      </c>
    </row>
    <row r="26" spans="1:13" ht="15" customHeight="1">
      <c r="A26" s="21">
        <v>7141</v>
      </c>
      <c r="B26" s="22" t="s">
        <v>20</v>
      </c>
      <c r="C26" s="23">
        <v>2260506.77</v>
      </c>
      <c r="D26" s="41">
        <f t="shared" si="1"/>
        <v>3.3013988805217026E-2</v>
      </c>
      <c r="E26" s="23">
        <v>1249043.6640000001</v>
      </c>
      <c r="F26" s="41">
        <f t="shared" si="2"/>
        <v>1.8855481545219877E-2</v>
      </c>
      <c r="G26" s="23">
        <f t="shared" si="3"/>
        <v>1011463.1059999999</v>
      </c>
      <c r="H26" s="98">
        <f t="shared" si="7"/>
        <v>80.979002988641724</v>
      </c>
      <c r="I26" s="23">
        <v>1549681.2</v>
      </c>
      <c r="J26" s="41">
        <f t="shared" si="4"/>
        <v>2.6733570695773038E-2</v>
      </c>
      <c r="K26" s="23">
        <f t="shared" si="5"/>
        <v>710825.57000000007</v>
      </c>
      <c r="L26" s="98">
        <f t="shared" si="6"/>
        <v>45.869148441627857</v>
      </c>
      <c r="M26" s="74" t="s">
        <v>98</v>
      </c>
    </row>
    <row r="27" spans="1:13" ht="15" customHeight="1">
      <c r="A27" s="21">
        <v>7142</v>
      </c>
      <c r="B27" s="22" t="s">
        <v>21</v>
      </c>
      <c r="C27" s="23">
        <v>6223198.2599999998</v>
      </c>
      <c r="D27" s="41">
        <f t="shared" si="1"/>
        <v>9.0887848873058702E-2</v>
      </c>
      <c r="E27" s="23">
        <v>4493724.3584000003</v>
      </c>
      <c r="F27" s="41">
        <f t="shared" si="2"/>
        <v>6.7836969316003207E-2</v>
      </c>
      <c r="G27" s="23">
        <f t="shared" si="3"/>
        <v>1729473.9015999995</v>
      </c>
      <c r="H27" s="98">
        <f t="shared" si="7"/>
        <v>38.48642603917483</v>
      </c>
      <c r="I27" s="23">
        <v>4123226.17</v>
      </c>
      <c r="J27" s="41">
        <f t="shared" si="4"/>
        <v>7.1129828709515536E-2</v>
      </c>
      <c r="K27" s="23">
        <f t="shared" si="5"/>
        <v>2099972.09</v>
      </c>
      <c r="L27" s="98">
        <f t="shared" si="6"/>
        <v>50.930315326360073</v>
      </c>
      <c r="M27" s="74" t="s">
        <v>99</v>
      </c>
    </row>
    <row r="28" spans="1:13" ht="15" customHeight="1">
      <c r="A28" s="21">
        <v>7143</v>
      </c>
      <c r="B28" s="22" t="s">
        <v>22</v>
      </c>
      <c r="C28" s="23">
        <v>0</v>
      </c>
      <c r="D28" s="41">
        <f t="shared" si="1"/>
        <v>0</v>
      </c>
      <c r="E28" s="23">
        <v>0</v>
      </c>
      <c r="F28" s="41">
        <f t="shared" si="2"/>
        <v>0</v>
      </c>
      <c r="G28" s="23">
        <f t="shared" si="3"/>
        <v>0</v>
      </c>
      <c r="H28" s="98">
        <f t="shared" si="7"/>
        <v>0</v>
      </c>
      <c r="I28" s="23">
        <v>0</v>
      </c>
      <c r="J28" s="41">
        <f t="shared" si="4"/>
        <v>0</v>
      </c>
      <c r="K28" s="23">
        <f t="shared" si="5"/>
        <v>0</v>
      </c>
      <c r="L28" s="98">
        <f t="shared" si="6"/>
        <v>0</v>
      </c>
      <c r="M28" s="74" t="s">
        <v>100</v>
      </c>
    </row>
    <row r="29" spans="1:13" ht="15" customHeight="1">
      <c r="A29" s="21">
        <v>7144</v>
      </c>
      <c r="B29" s="22" t="s">
        <v>23</v>
      </c>
      <c r="C29" s="23">
        <v>13411048.199999999</v>
      </c>
      <c r="D29" s="41">
        <f t="shared" si="1"/>
        <v>0.1958641314491732</v>
      </c>
      <c r="E29" s="23">
        <v>10792552.214400001</v>
      </c>
      <c r="F29" s="41">
        <f t="shared" si="2"/>
        <v>0.16292366309496853</v>
      </c>
      <c r="G29" s="23">
        <f t="shared" si="3"/>
        <v>2618495.9855999984</v>
      </c>
      <c r="H29" s="98">
        <f t="shared" si="7"/>
        <v>24.262064556947522</v>
      </c>
      <c r="I29" s="23">
        <v>9758216.2300000004</v>
      </c>
      <c r="J29" s="41">
        <f t="shared" si="4"/>
        <v>0.16833911610294094</v>
      </c>
      <c r="K29" s="23">
        <f t="shared" si="5"/>
        <v>3652831.9699999988</v>
      </c>
      <c r="L29" s="98">
        <f t="shared" si="6"/>
        <v>37.433398521852581</v>
      </c>
      <c r="M29" s="74" t="s">
        <v>101</v>
      </c>
    </row>
    <row r="30" spans="1:13" ht="15" customHeight="1">
      <c r="A30" s="21">
        <v>7148</v>
      </c>
      <c r="B30" s="22" t="s">
        <v>24</v>
      </c>
      <c r="C30" s="78">
        <v>3957856.96</v>
      </c>
      <c r="D30" s="41">
        <f t="shared" si="1"/>
        <v>5.7803253281161503E-2</v>
      </c>
      <c r="E30" s="78">
        <v>3547299.3600000003</v>
      </c>
      <c r="F30" s="41">
        <f t="shared" si="2"/>
        <v>5.3549799375028316E-2</v>
      </c>
      <c r="G30" s="78">
        <f t="shared" si="3"/>
        <v>410557.59999999963</v>
      </c>
      <c r="H30" s="98">
        <f t="shared" si="7"/>
        <v>11.573807517615293</v>
      </c>
      <c r="I30" s="78">
        <v>3438285.16</v>
      </c>
      <c r="J30" s="41">
        <f t="shared" si="4"/>
        <v>5.9313902367201271E-2</v>
      </c>
      <c r="K30" s="78">
        <f t="shared" si="5"/>
        <v>519571.79999999981</v>
      </c>
      <c r="L30" s="98">
        <f t="shared" si="6"/>
        <v>15.111364410507463</v>
      </c>
      <c r="M30" s="74" t="s">
        <v>102</v>
      </c>
    </row>
    <row r="31" spans="1:13" ht="15" customHeight="1">
      <c r="A31" s="21">
        <v>7149</v>
      </c>
      <c r="B31" s="22" t="s">
        <v>25</v>
      </c>
      <c r="C31" s="78">
        <v>29864975.530000001</v>
      </c>
      <c r="D31" s="41">
        <f t="shared" si="1"/>
        <v>0.43616855339721033</v>
      </c>
      <c r="E31" s="78">
        <v>25876587.4749505</v>
      </c>
      <c r="F31" s="41">
        <f t="shared" si="2"/>
        <v>0.39063127386969942</v>
      </c>
      <c r="G31" s="78">
        <f t="shared" si="3"/>
        <v>3988388.0550495014</v>
      </c>
      <c r="H31" s="98">
        <f t="shared" si="7"/>
        <v>15.413114495527708</v>
      </c>
      <c r="I31" s="78">
        <v>53880868.229999997</v>
      </c>
      <c r="J31" s="41">
        <f t="shared" si="4"/>
        <v>0.92949956415315382</v>
      </c>
      <c r="K31" s="78">
        <f t="shared" si="5"/>
        <v>-24015892.699999996</v>
      </c>
      <c r="L31" s="98">
        <f t="shared" si="6"/>
        <v>-44.572208074828936</v>
      </c>
      <c r="M31" s="74" t="s">
        <v>103</v>
      </c>
    </row>
    <row r="32" spans="1:13" ht="15" customHeight="1">
      <c r="A32" s="18">
        <v>715</v>
      </c>
      <c r="B32" s="19" t="s">
        <v>26</v>
      </c>
      <c r="C32" s="20">
        <f>+SUM(C33:C36)</f>
        <v>181709993.86000001</v>
      </c>
      <c r="D32" s="40">
        <f t="shared" si="1"/>
        <v>2.6538171806006559</v>
      </c>
      <c r="E32" s="20">
        <f>+SUM(E33:E36)</f>
        <v>200410680.97400001</v>
      </c>
      <c r="F32" s="40">
        <f t="shared" si="2"/>
        <v>3.0253865461105325</v>
      </c>
      <c r="G32" s="20">
        <f t="shared" si="3"/>
        <v>-18700687.113999993</v>
      </c>
      <c r="H32" s="93">
        <f t="shared" si="7"/>
        <v>-9.331182860671035</v>
      </c>
      <c r="I32" s="20">
        <f>+SUM(I33:I36)</f>
        <v>29565488.300000001</v>
      </c>
      <c r="J32" s="40">
        <f t="shared" si="4"/>
        <v>0.51003462623351214</v>
      </c>
      <c r="K32" s="20">
        <f t="shared" si="5"/>
        <v>152144505.56</v>
      </c>
      <c r="L32" s="93">
        <f t="shared" si="6"/>
        <v>514.601700523918</v>
      </c>
      <c r="M32" s="73" t="s">
        <v>104</v>
      </c>
    </row>
    <row r="33" spans="1:105" ht="15" customHeight="1">
      <c r="A33" s="21">
        <v>7151</v>
      </c>
      <c r="B33" s="22" t="s">
        <v>27</v>
      </c>
      <c r="C33" s="78">
        <v>82914895</v>
      </c>
      <c r="D33" s="41">
        <f t="shared" si="1"/>
        <v>1.2109459045396909</v>
      </c>
      <c r="E33" s="78">
        <v>104322707</v>
      </c>
      <c r="F33" s="41">
        <f t="shared" si="2"/>
        <v>1.5748487689265283</v>
      </c>
      <c r="G33" s="78">
        <f t="shared" si="3"/>
        <v>-21407812</v>
      </c>
      <c r="H33" s="98">
        <f t="shared" si="7"/>
        <v>-20.520759684658103</v>
      </c>
      <c r="I33" s="78">
        <v>2519216.0699999998</v>
      </c>
      <c r="J33" s="41">
        <f t="shared" si="4"/>
        <v>4.3459029447651884E-2</v>
      </c>
      <c r="K33" s="78">
        <f t="shared" si="5"/>
        <v>80395678.930000007</v>
      </c>
      <c r="L33" s="98">
        <f t="shared" si="6"/>
        <v>3191.2974789018399</v>
      </c>
      <c r="M33" s="74" t="s">
        <v>105</v>
      </c>
    </row>
    <row r="34" spans="1:105" ht="15" customHeight="1">
      <c r="A34" s="21">
        <v>7152</v>
      </c>
      <c r="B34" s="22" t="s">
        <v>28</v>
      </c>
      <c r="C34" s="78">
        <v>18035052.989999998</v>
      </c>
      <c r="D34" s="41">
        <f t="shared" si="1"/>
        <v>0.26339626380033176</v>
      </c>
      <c r="E34" s="78">
        <v>14681811.936000001</v>
      </c>
      <c r="F34" s="41">
        <f t="shared" si="2"/>
        <v>0.22163567374666004</v>
      </c>
      <c r="G34" s="78">
        <f t="shared" si="3"/>
        <v>3353241.0539999977</v>
      </c>
      <c r="H34" s="98">
        <f t="shared" si="7"/>
        <v>22.839422467861795</v>
      </c>
      <c r="I34" s="78">
        <v>15414711.52</v>
      </c>
      <c r="J34" s="41">
        <f t="shared" si="4"/>
        <v>0.2659193905010056</v>
      </c>
      <c r="K34" s="78">
        <f t="shared" si="5"/>
        <v>2620341.4699999988</v>
      </c>
      <c r="L34" s="98">
        <f t="shared" si="6"/>
        <v>16.998965349433931</v>
      </c>
      <c r="M34" s="74" t="s">
        <v>106</v>
      </c>
    </row>
    <row r="35" spans="1:105">
      <c r="A35" s="21">
        <v>7153</v>
      </c>
      <c r="B35" s="22" t="s">
        <v>29</v>
      </c>
      <c r="C35" s="78">
        <v>2201726.06</v>
      </c>
      <c r="D35" s="41">
        <f t="shared" si="1"/>
        <v>3.215551506487839E-2</v>
      </c>
      <c r="E35" s="78">
        <v>2452290.7200000002</v>
      </c>
      <c r="F35" s="41">
        <f t="shared" si="2"/>
        <v>3.701962048820253E-2</v>
      </c>
      <c r="G35" s="78">
        <f t="shared" si="3"/>
        <v>-250564.66000000015</v>
      </c>
      <c r="H35" s="98">
        <f t="shared" si="7"/>
        <v>-10.217575671452209</v>
      </c>
      <c r="I35" s="78">
        <v>1982658.98</v>
      </c>
      <c r="J35" s="41">
        <f t="shared" si="4"/>
        <v>3.4202876054403482E-2</v>
      </c>
      <c r="K35" s="78">
        <f t="shared" si="5"/>
        <v>219067.08000000007</v>
      </c>
      <c r="L35" s="98">
        <f t="shared" si="6"/>
        <v>11.049155815994155</v>
      </c>
      <c r="M35" s="74" t="s">
        <v>107</v>
      </c>
    </row>
    <row r="36" spans="1:105" s="3" customFormat="1" ht="15" customHeight="1">
      <c r="A36" s="21">
        <v>7155</v>
      </c>
      <c r="B36" s="22" t="s">
        <v>26</v>
      </c>
      <c r="C36" s="78">
        <v>78558319.810000002</v>
      </c>
      <c r="D36" s="41">
        <f t="shared" si="1"/>
        <v>1.1473194971957545</v>
      </c>
      <c r="E36" s="78">
        <v>78953871.318000004</v>
      </c>
      <c r="F36" s="41">
        <f t="shared" si="2"/>
        <v>1.1918824829491419</v>
      </c>
      <c r="G36" s="78">
        <f t="shared" si="3"/>
        <v>-395551.50800000131</v>
      </c>
      <c r="H36" s="98">
        <f t="shared" si="7"/>
        <v>-0.500990643519998</v>
      </c>
      <c r="I36" s="78">
        <v>9648901.7300000004</v>
      </c>
      <c r="J36" s="41">
        <f t="shared" si="4"/>
        <v>0.16645333023045111</v>
      </c>
      <c r="K36" s="78">
        <f t="shared" si="5"/>
        <v>68909418.079999998</v>
      </c>
      <c r="L36" s="98">
        <f t="shared" si="6"/>
        <v>714.16851376721388</v>
      </c>
      <c r="M36" s="74" t="s">
        <v>104</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5" customHeight="1">
      <c r="A37" s="18">
        <v>73</v>
      </c>
      <c r="B37" s="96" t="s">
        <v>187</v>
      </c>
      <c r="C37" s="20">
        <v>0</v>
      </c>
      <c r="D37" s="40">
        <f t="shared" si="1"/>
        <v>0</v>
      </c>
      <c r="E37" s="20">
        <v>0</v>
      </c>
      <c r="F37" s="40">
        <f t="shared" si="2"/>
        <v>0</v>
      </c>
      <c r="G37" s="20">
        <f t="shared" si="3"/>
        <v>0</v>
      </c>
      <c r="H37" s="93">
        <f t="shared" si="7"/>
        <v>0</v>
      </c>
      <c r="I37" s="20">
        <v>0</v>
      </c>
      <c r="J37" s="40">
        <f t="shared" si="4"/>
        <v>0</v>
      </c>
      <c r="K37" s="20">
        <f t="shared" si="5"/>
        <v>0</v>
      </c>
      <c r="L37" s="93">
        <f t="shared" si="6"/>
        <v>0</v>
      </c>
      <c r="M37" s="73" t="s">
        <v>108</v>
      </c>
    </row>
    <row r="38" spans="1:105" ht="15" customHeight="1">
      <c r="A38" s="18">
        <v>74</v>
      </c>
      <c r="B38" s="19" t="s">
        <v>183</v>
      </c>
      <c r="C38" s="20">
        <v>71264847.829999998</v>
      </c>
      <c r="D38" s="40">
        <f t="shared" si="1"/>
        <v>1.040800638020259</v>
      </c>
      <c r="E38" s="20">
        <v>68383384.579999998</v>
      </c>
      <c r="F38" s="40">
        <f t="shared" si="2"/>
        <v>1.0323111057772143</v>
      </c>
      <c r="G38" s="20">
        <f t="shared" si="3"/>
        <v>2881463.25</v>
      </c>
      <c r="H38" s="93">
        <f t="shared" si="7"/>
        <v>4.2136891405675385</v>
      </c>
      <c r="I38" s="20">
        <v>34391205.840000004</v>
      </c>
      <c r="J38" s="40">
        <f t="shared" si="4"/>
        <v>0.59328314277576744</v>
      </c>
      <c r="K38" s="20">
        <f t="shared" si="5"/>
        <v>36873641.989999995</v>
      </c>
      <c r="L38" s="93">
        <f t="shared" si="6"/>
        <v>107.2182294553705</v>
      </c>
      <c r="M38" s="73" t="s">
        <v>109</v>
      </c>
    </row>
    <row r="39" spans="1:105" ht="15" customHeight="1">
      <c r="A39" s="15"/>
      <c r="B39" s="16" t="s">
        <v>72</v>
      </c>
      <c r="C39" s="17">
        <f>+C40+C50+C56+C57+C58+C59+C60+C61</f>
        <v>2556098011.4199996</v>
      </c>
      <c r="D39" s="39">
        <f t="shared" si="1"/>
        <v>37.331005708094992</v>
      </c>
      <c r="E39" s="17">
        <f>+E40+E50+E56+E57+E58+E59+E60+E61</f>
        <v>2639096791.3985004</v>
      </c>
      <c r="F39" s="39">
        <f t="shared" ref="F39:F78" si="8">+E39/$E$2*100</f>
        <v>39.839632737021276</v>
      </c>
      <c r="G39" s="17">
        <f t="shared" si="3"/>
        <v>-82998779.978500843</v>
      </c>
      <c r="H39" s="97">
        <f t="shared" si="7"/>
        <v>-3.14496915190891</v>
      </c>
      <c r="I39" s="17">
        <f>+I40+I50+I56+I57+I58+I59+I60+I61</f>
        <v>2245767940.8999996</v>
      </c>
      <c r="J39" s="39">
        <f t="shared" si="4"/>
        <v>38.741772187951163</v>
      </c>
      <c r="K39" s="17">
        <f t="shared" ref="K39:K61" si="9">+C39-I39</f>
        <v>310330070.51999998</v>
      </c>
      <c r="L39" s="97">
        <f t="shared" si="6"/>
        <v>13.818438889800603</v>
      </c>
      <c r="M39" s="82" t="s">
        <v>110</v>
      </c>
    </row>
    <row r="40" spans="1:105" ht="15" customHeight="1">
      <c r="A40" s="18">
        <v>41</v>
      </c>
      <c r="B40" s="19" t="s">
        <v>69</v>
      </c>
      <c r="C40" s="20">
        <f>+SUM(C41:C49)</f>
        <v>1073047311.8200001</v>
      </c>
      <c r="D40" s="40">
        <f t="shared" si="1"/>
        <v>15.671517736659425</v>
      </c>
      <c r="E40" s="20">
        <f>+SUM(E41:E49)</f>
        <v>1080322097.4785001</v>
      </c>
      <c r="F40" s="40">
        <f t="shared" si="8"/>
        <v>16.308471800469484</v>
      </c>
      <c r="G40" s="20">
        <f t="shared" si="3"/>
        <v>-7274785.6585000753</v>
      </c>
      <c r="H40" s="93">
        <f t="shared" si="7"/>
        <v>-0.67339043378633789</v>
      </c>
      <c r="I40" s="20">
        <f>+SUM(I41:I49)</f>
        <v>923673941.21999991</v>
      </c>
      <c r="J40" s="40">
        <f t="shared" si="4"/>
        <v>15.934311268310008</v>
      </c>
      <c r="K40" s="20">
        <f t="shared" si="9"/>
        <v>149373370.60000014</v>
      </c>
      <c r="L40" s="93">
        <f t="shared" si="6"/>
        <v>16.171655812083003</v>
      </c>
      <c r="M40" s="73" t="s">
        <v>111</v>
      </c>
    </row>
    <row r="41" spans="1:105" ht="15" customHeight="1">
      <c r="A41" s="21">
        <v>411</v>
      </c>
      <c r="B41" s="22" t="s">
        <v>30</v>
      </c>
      <c r="C41" s="23">
        <v>642971390.56000006</v>
      </c>
      <c r="D41" s="41">
        <f t="shared" si="1"/>
        <v>9.3903944777934321</v>
      </c>
      <c r="E41" s="23">
        <v>635224458.56850004</v>
      </c>
      <c r="F41" s="41">
        <f t="shared" si="8"/>
        <v>9.5893069240297102</v>
      </c>
      <c r="G41" s="23">
        <f t="shared" si="3"/>
        <v>7746931.99150002</v>
      </c>
      <c r="H41" s="98">
        <f t="shared" si="7"/>
        <v>1.2195582029316085</v>
      </c>
      <c r="I41" s="23">
        <v>542475528.12</v>
      </c>
      <c r="J41" s="41">
        <f t="shared" si="4"/>
        <v>9.3582524468405719</v>
      </c>
      <c r="K41" s="23">
        <f t="shared" si="9"/>
        <v>100495862.44000006</v>
      </c>
      <c r="L41" s="98">
        <f t="shared" si="6"/>
        <v>18.525418609808611</v>
      </c>
      <c r="M41" s="74" t="s">
        <v>112</v>
      </c>
    </row>
    <row r="42" spans="1:105" ht="15" customHeight="1">
      <c r="A42" s="21">
        <v>412</v>
      </c>
      <c r="B42" s="22" t="s">
        <v>31</v>
      </c>
      <c r="C42" s="23">
        <v>18418159.829999998</v>
      </c>
      <c r="D42" s="41">
        <f t="shared" si="1"/>
        <v>0.26899141843327362</v>
      </c>
      <c r="E42" s="23">
        <v>19612384.860000003</v>
      </c>
      <c r="F42" s="41">
        <f t="shared" si="8"/>
        <v>0.29606728046737019</v>
      </c>
      <c r="G42" s="23">
        <f t="shared" si="3"/>
        <v>-1194225.0300000049</v>
      </c>
      <c r="H42" s="98">
        <f t="shared" si="7"/>
        <v>-6.0891372391720751</v>
      </c>
      <c r="I42" s="23">
        <v>18769988.849999998</v>
      </c>
      <c r="J42" s="41">
        <f t="shared" si="4"/>
        <v>0.32380132370473785</v>
      </c>
      <c r="K42" s="23">
        <f t="shared" si="9"/>
        <v>-351829.01999999955</v>
      </c>
      <c r="L42" s="98">
        <f t="shared" si="6"/>
        <v>-1.874423169942375</v>
      </c>
      <c r="M42" s="74" t="s">
        <v>113</v>
      </c>
    </row>
    <row r="43" spans="1:105" ht="15" customHeight="1">
      <c r="A43" s="21">
        <v>413</v>
      </c>
      <c r="B43" s="22" t="s">
        <v>73</v>
      </c>
      <c r="C43" s="23">
        <v>45737594.780000001</v>
      </c>
      <c r="D43" s="41">
        <f t="shared" si="1"/>
        <v>0.66798315408030062</v>
      </c>
      <c r="E43" s="23">
        <v>56710723.900000006</v>
      </c>
      <c r="F43" s="41">
        <f t="shared" si="8"/>
        <v>0.85610138278761538</v>
      </c>
      <c r="G43" s="23">
        <f t="shared" si="3"/>
        <v>-10973129.120000005</v>
      </c>
      <c r="H43" s="98">
        <f t="shared" si="7"/>
        <v>-19.349301799337468</v>
      </c>
      <c r="I43" s="23">
        <v>37040834.979999997</v>
      </c>
      <c r="J43" s="41">
        <f t="shared" si="4"/>
        <v>0.63899192980355746</v>
      </c>
      <c r="K43" s="23">
        <f t="shared" si="9"/>
        <v>8696759.8000000045</v>
      </c>
      <c r="L43" s="98">
        <f t="shared" si="6"/>
        <v>23.478843834637559</v>
      </c>
      <c r="M43" s="74" t="s">
        <v>114</v>
      </c>
    </row>
    <row r="44" spans="1:105" ht="15" customHeight="1">
      <c r="A44" s="21">
        <v>414</v>
      </c>
      <c r="B44" s="22" t="s">
        <v>74</v>
      </c>
      <c r="C44" s="23">
        <v>72415757.310000002</v>
      </c>
      <c r="D44" s="41">
        <f t="shared" si="1"/>
        <v>1.0576093081790032</v>
      </c>
      <c r="E44" s="23">
        <v>71054582.26000002</v>
      </c>
      <c r="F44" s="41">
        <f t="shared" si="8"/>
        <v>1.072635331431246</v>
      </c>
      <c r="G44" s="23">
        <f t="shared" si="3"/>
        <v>1361175.0499999821</v>
      </c>
      <c r="H44" s="98">
        <f t="shared" si="7"/>
        <v>1.915675255142915</v>
      </c>
      <c r="I44" s="23">
        <v>63498276.480000004</v>
      </c>
      <c r="J44" s="41">
        <f t="shared" si="4"/>
        <v>1.095409599947281</v>
      </c>
      <c r="K44" s="23">
        <f t="shared" si="9"/>
        <v>8917480.8299999982</v>
      </c>
      <c r="L44" s="98">
        <f t="shared" si="6"/>
        <v>14.043658071268638</v>
      </c>
      <c r="M44" s="74" t="s">
        <v>115</v>
      </c>
    </row>
    <row r="45" spans="1:105" ht="15.75" customHeight="1">
      <c r="A45" s="21">
        <v>415</v>
      </c>
      <c r="B45" s="22" t="s">
        <v>32</v>
      </c>
      <c r="C45" s="23">
        <v>30165166.989999998</v>
      </c>
      <c r="D45" s="41">
        <f t="shared" si="1"/>
        <v>0.44055275504234043</v>
      </c>
      <c r="E45" s="23">
        <v>34835684.359999999</v>
      </c>
      <c r="F45" s="41">
        <f t="shared" si="8"/>
        <v>0.52587721510197305</v>
      </c>
      <c r="G45" s="23">
        <f t="shared" si="3"/>
        <v>-4670517.370000001</v>
      </c>
      <c r="H45" s="98">
        <f t="shared" si="7"/>
        <v>-13.407278931953215</v>
      </c>
      <c r="I45" s="23">
        <v>27310215.390000001</v>
      </c>
      <c r="J45" s="41">
        <f t="shared" si="4"/>
        <v>0.47112888369901745</v>
      </c>
      <c r="K45" s="23">
        <f t="shared" si="9"/>
        <v>2854951.5999999978</v>
      </c>
      <c r="L45" s="98">
        <f t="shared" si="6"/>
        <v>10.453786464992064</v>
      </c>
      <c r="M45" s="74" t="s">
        <v>116</v>
      </c>
    </row>
    <row r="46" spans="1:105" ht="15" customHeight="1">
      <c r="A46" s="21">
        <v>416</v>
      </c>
      <c r="B46" s="22" t="s">
        <v>33</v>
      </c>
      <c r="C46" s="23">
        <v>124542976.23999999</v>
      </c>
      <c r="D46" s="41">
        <f t="shared" si="1"/>
        <v>1.8189109087940354</v>
      </c>
      <c r="E46" s="23">
        <v>110027809.39</v>
      </c>
      <c r="F46" s="41">
        <f t="shared" si="8"/>
        <v>1.6609726218619325</v>
      </c>
      <c r="G46" s="23">
        <f t="shared" si="3"/>
        <v>14515166.849999994</v>
      </c>
      <c r="H46" s="98">
        <f t="shared" si="7"/>
        <v>13.192271054447829</v>
      </c>
      <c r="I46" s="23">
        <v>91955959.900000006</v>
      </c>
      <c r="J46" s="41">
        <f t="shared" si="4"/>
        <v>1.5863334696738403</v>
      </c>
      <c r="K46" s="23">
        <f t="shared" si="9"/>
        <v>32587016.339999989</v>
      </c>
      <c r="L46" s="98">
        <f t="shared" si="6"/>
        <v>35.43763381453212</v>
      </c>
      <c r="M46" s="74" t="s">
        <v>117</v>
      </c>
    </row>
    <row r="47" spans="1:105" ht="15" customHeight="1">
      <c r="A47" s="21">
        <v>417</v>
      </c>
      <c r="B47" s="22" t="s">
        <v>34</v>
      </c>
      <c r="C47" s="23">
        <v>11695752.59</v>
      </c>
      <c r="D47" s="41">
        <f t="shared" si="1"/>
        <v>0.17081277977099271</v>
      </c>
      <c r="E47" s="23">
        <v>12241037.409999998</v>
      </c>
      <c r="F47" s="41">
        <f t="shared" si="8"/>
        <v>0.18478990097066858</v>
      </c>
      <c r="G47" s="23">
        <f t="shared" si="3"/>
        <v>-545284.81999999844</v>
      </c>
      <c r="H47" s="98">
        <f t="shared" si="7"/>
        <v>-4.4545637901126156</v>
      </c>
      <c r="I47" s="23">
        <v>12031200.050000001</v>
      </c>
      <c r="J47" s="41">
        <f t="shared" si="4"/>
        <v>0.20755038977801568</v>
      </c>
      <c r="K47" s="23">
        <f t="shared" si="9"/>
        <v>-335447.46000000089</v>
      </c>
      <c r="L47" s="98">
        <f t="shared" si="6"/>
        <v>-2.7881463079819753</v>
      </c>
      <c r="M47" s="74" t="s">
        <v>118</v>
      </c>
    </row>
    <row r="48" spans="1:105" ht="15" customHeight="1">
      <c r="A48" s="21">
        <v>418</v>
      </c>
      <c r="B48" s="22" t="s">
        <v>35</v>
      </c>
      <c r="C48" s="23">
        <v>74379966.019999996</v>
      </c>
      <c r="D48" s="41">
        <f t="shared" si="1"/>
        <v>1.0862959572187889</v>
      </c>
      <c r="E48" s="23">
        <v>72823266.960000008</v>
      </c>
      <c r="F48" s="41">
        <f t="shared" si="8"/>
        <v>1.0993352801050678</v>
      </c>
      <c r="G48" s="23">
        <f t="shared" si="3"/>
        <v>1556699.0599999875</v>
      </c>
      <c r="H48" s="98">
        <f t="shared" si="7"/>
        <v>2.137639692620553</v>
      </c>
      <c r="I48" s="23">
        <v>68429827.040000007</v>
      </c>
      <c r="J48" s="41">
        <f t="shared" si="4"/>
        <v>1.1804838433049076</v>
      </c>
      <c r="K48" s="23">
        <f t="shared" si="9"/>
        <v>5950138.9799999893</v>
      </c>
      <c r="L48" s="98">
        <f t="shared" si="6"/>
        <v>8.6952418811783616</v>
      </c>
      <c r="M48" s="74" t="s">
        <v>119</v>
      </c>
    </row>
    <row r="49" spans="1:15" ht="15" customHeight="1">
      <c r="A49" s="21">
        <v>419</v>
      </c>
      <c r="B49" s="22" t="s">
        <v>36</v>
      </c>
      <c r="C49" s="23">
        <v>52720547.5</v>
      </c>
      <c r="D49" s="41">
        <f t="shared" si="1"/>
        <v>0.76996697734725761</v>
      </c>
      <c r="E49" s="23">
        <v>67792149.769999996</v>
      </c>
      <c r="F49" s="41">
        <f t="shared" si="8"/>
        <v>1.0233858637139017</v>
      </c>
      <c r="G49" s="23">
        <f t="shared" si="3"/>
        <v>-15071602.269999996</v>
      </c>
      <c r="H49" s="98">
        <f t="shared" si="7"/>
        <v>-22.232076016373242</v>
      </c>
      <c r="I49" s="23">
        <v>62162110.410000004</v>
      </c>
      <c r="J49" s="41">
        <f t="shared" si="4"/>
        <v>1.0723593815580805</v>
      </c>
      <c r="K49" s="23">
        <f t="shared" si="9"/>
        <v>-9441562.9100000039</v>
      </c>
      <c r="L49" s="98">
        <f t="shared" si="6"/>
        <v>-15.188613848092814</v>
      </c>
      <c r="M49" s="74" t="s">
        <v>120</v>
      </c>
    </row>
    <row r="50" spans="1:15" ht="15" customHeight="1">
      <c r="A50" s="18">
        <v>42</v>
      </c>
      <c r="B50" s="19" t="s">
        <v>37</v>
      </c>
      <c r="C50" s="20">
        <f>+SUM(C51:C55)</f>
        <v>825105677.94999993</v>
      </c>
      <c r="D50" s="40">
        <f t="shared" si="1"/>
        <v>12.05040833165136</v>
      </c>
      <c r="E50" s="20">
        <f>+SUM(E51:E55)</f>
        <v>840813872.81000006</v>
      </c>
      <c r="F50" s="40">
        <f t="shared" si="8"/>
        <v>12.692871289192823</v>
      </c>
      <c r="G50" s="20">
        <f t="shared" si="3"/>
        <v>-15708194.860000134</v>
      </c>
      <c r="H50" s="93">
        <f t="shared" si="7"/>
        <v>-1.8682130930479701</v>
      </c>
      <c r="I50" s="20">
        <f>+SUM(I51:I55)</f>
        <v>667285836.70999992</v>
      </c>
      <c r="J50" s="40">
        <f t="shared" si="4"/>
        <v>11.511356716449065</v>
      </c>
      <c r="K50" s="20">
        <f t="shared" si="9"/>
        <v>157819841.24000001</v>
      </c>
      <c r="L50" s="93">
        <f t="shared" si="6"/>
        <v>23.651010190493224</v>
      </c>
      <c r="M50" s="73" t="s">
        <v>121</v>
      </c>
    </row>
    <row r="51" spans="1:15" ht="15" customHeight="1">
      <c r="A51" s="21">
        <v>421</v>
      </c>
      <c r="B51" s="22" t="s">
        <v>38</v>
      </c>
      <c r="C51" s="23">
        <v>209887201.35000002</v>
      </c>
      <c r="D51" s="41">
        <f t="shared" si="1"/>
        <v>3.0653364138021284</v>
      </c>
      <c r="E51" s="23">
        <v>207352800.30999997</v>
      </c>
      <c r="F51" s="41">
        <f t="shared" si="8"/>
        <v>3.1301843260419968</v>
      </c>
      <c r="G51" s="23">
        <f t="shared" si="3"/>
        <v>2534401.0400000513</v>
      </c>
      <c r="H51" s="98">
        <f t="shared" si="7"/>
        <v>1.2222651617007472</v>
      </c>
      <c r="I51" s="23">
        <v>135296564.06</v>
      </c>
      <c r="J51" s="41">
        <f t="shared" si="4"/>
        <v>2.3340028001844479</v>
      </c>
      <c r="K51" s="23">
        <f t="shared" si="9"/>
        <v>74590637.290000021</v>
      </c>
      <c r="L51" s="98">
        <f t="shared" si="6"/>
        <v>55.13121327820366</v>
      </c>
      <c r="M51" s="74" t="s">
        <v>122</v>
      </c>
    </row>
    <row r="52" spans="1:15" ht="15" customHeight="1">
      <c r="A52" s="21">
        <v>422</v>
      </c>
      <c r="B52" s="22" t="s">
        <v>39</v>
      </c>
      <c r="C52" s="23">
        <v>24251935.379999999</v>
      </c>
      <c r="D52" s="41">
        <f t="shared" si="1"/>
        <v>0.3541918713829672</v>
      </c>
      <c r="E52" s="23">
        <v>28611076</v>
      </c>
      <c r="F52" s="41">
        <f t="shared" si="8"/>
        <v>0.4319109339854777</v>
      </c>
      <c r="G52" s="23">
        <f t="shared" si="3"/>
        <v>-4359140.620000001</v>
      </c>
      <c r="H52" s="98">
        <f t="shared" si="7"/>
        <v>-15.235849990402315</v>
      </c>
      <c r="I52" s="23">
        <v>27720826.509999998</v>
      </c>
      <c r="J52" s="41">
        <f t="shared" si="4"/>
        <v>0.47821234151278619</v>
      </c>
      <c r="K52" s="23">
        <f t="shared" si="9"/>
        <v>-3468891.129999999</v>
      </c>
      <c r="L52" s="98">
        <f t="shared" si="6"/>
        <v>-12.513664153370868</v>
      </c>
      <c r="M52" s="74" t="s">
        <v>123</v>
      </c>
    </row>
    <row r="53" spans="1:15">
      <c r="A53" s="21">
        <v>423</v>
      </c>
      <c r="B53" s="22" t="s">
        <v>40</v>
      </c>
      <c r="C53" s="23">
        <v>553810698.30999994</v>
      </c>
      <c r="D53" s="41">
        <f t="shared" si="1"/>
        <v>8.0882306732555218</v>
      </c>
      <c r="E53" s="23">
        <v>567395838.01000011</v>
      </c>
      <c r="F53" s="41">
        <f t="shared" si="8"/>
        <v>8.5653704996754385</v>
      </c>
      <c r="G53" s="23">
        <f t="shared" si="3"/>
        <v>-13585139.700000167</v>
      </c>
      <c r="H53" s="98">
        <f t="shared" si="7"/>
        <v>-2.3942966778971595</v>
      </c>
      <c r="I53" s="23">
        <v>470084623.37999994</v>
      </c>
      <c r="J53" s="41">
        <f t="shared" si="4"/>
        <v>8.1094360002077011</v>
      </c>
      <c r="K53" s="23">
        <f t="shared" si="9"/>
        <v>83726074.930000007</v>
      </c>
      <c r="L53" s="98">
        <f t="shared" si="6"/>
        <v>17.810851656451405</v>
      </c>
      <c r="M53" s="74" t="s">
        <v>124</v>
      </c>
    </row>
    <row r="54" spans="1:15" ht="15" customHeight="1">
      <c r="A54" s="21">
        <v>424</v>
      </c>
      <c r="B54" s="22" t="s">
        <v>41</v>
      </c>
      <c r="C54" s="23">
        <v>20559593.510000002</v>
      </c>
      <c r="D54" s="41">
        <f t="shared" si="1"/>
        <v>0.30026638229398123</v>
      </c>
      <c r="E54" s="23">
        <v>21854158.490000002</v>
      </c>
      <c r="F54" s="41">
        <f t="shared" si="8"/>
        <v>0.32990894871910997</v>
      </c>
      <c r="G54" s="23">
        <f t="shared" si="3"/>
        <v>-1294564.9800000004</v>
      </c>
      <c r="H54" s="98">
        <f t="shared" si="7"/>
        <v>-5.9236551276607941</v>
      </c>
      <c r="I54" s="23">
        <v>16743251.67</v>
      </c>
      <c r="J54" s="41">
        <f t="shared" si="4"/>
        <v>0.28883805404431889</v>
      </c>
      <c r="K54" s="23">
        <f t="shared" si="9"/>
        <v>3816341.8400000017</v>
      </c>
      <c r="L54" s="98">
        <f t="shared" si="6"/>
        <v>22.793313480666328</v>
      </c>
      <c r="M54" s="74" t="s">
        <v>125</v>
      </c>
    </row>
    <row r="55" spans="1:15" ht="15" customHeight="1">
      <c r="A55" s="21">
        <v>425</v>
      </c>
      <c r="B55" s="22" t="s">
        <v>42</v>
      </c>
      <c r="C55" s="23">
        <v>16596249.4</v>
      </c>
      <c r="D55" s="41">
        <f t="shared" si="1"/>
        <v>0.24238299091676238</v>
      </c>
      <c r="E55" s="23">
        <v>15600000</v>
      </c>
      <c r="F55" s="41">
        <f t="shared" si="8"/>
        <v>0.23549658077079844</v>
      </c>
      <c r="G55" s="23">
        <f t="shared" si="3"/>
        <v>996249.40000000037</v>
      </c>
      <c r="H55" s="98">
        <f t="shared" si="7"/>
        <v>6.3862141025640966</v>
      </c>
      <c r="I55" s="23">
        <v>17440571.089999996</v>
      </c>
      <c r="J55" s="41">
        <f t="shared" si="4"/>
        <v>0.30086752049981008</v>
      </c>
      <c r="K55" s="23">
        <f t="shared" si="9"/>
        <v>-844321.68999999575</v>
      </c>
      <c r="L55" s="98">
        <f t="shared" si="6"/>
        <v>-4.8411355662780409</v>
      </c>
      <c r="M55" s="74" t="s">
        <v>126</v>
      </c>
      <c r="O55" s="80"/>
    </row>
    <row r="56" spans="1:15" ht="15" customHeight="1">
      <c r="A56" s="18">
        <v>43</v>
      </c>
      <c r="B56" s="79" t="s">
        <v>43</v>
      </c>
      <c r="C56" s="20">
        <v>380696984.31</v>
      </c>
      <c r="D56" s="40">
        <f t="shared" si="1"/>
        <v>5.5599594502387717</v>
      </c>
      <c r="E56" s="20">
        <v>367655686.27999997</v>
      </c>
      <c r="F56" s="40">
        <f t="shared" si="8"/>
        <v>5.5501062192231627</v>
      </c>
      <c r="G56" s="20">
        <f t="shared" si="3"/>
        <v>13041298.030000031</v>
      </c>
      <c r="H56" s="93">
        <f t="shared" si="7"/>
        <v>3.5471498243244923</v>
      </c>
      <c r="I56" s="20">
        <v>353517907.92999995</v>
      </c>
      <c r="J56" s="40">
        <f t="shared" si="4"/>
        <v>6.098542063921558</v>
      </c>
      <c r="K56" s="20">
        <f t="shared" si="9"/>
        <v>27179076.380000055</v>
      </c>
      <c r="L56" s="93">
        <f t="shared" si="6"/>
        <v>7.688175272122777</v>
      </c>
      <c r="M56" s="73" t="s">
        <v>127</v>
      </c>
    </row>
    <row r="57" spans="1:15" ht="15" customHeight="1">
      <c r="A57" s="18">
        <v>44</v>
      </c>
      <c r="B57" s="19" t="s">
        <v>65</v>
      </c>
      <c r="C57" s="20">
        <v>238800312.16</v>
      </c>
      <c r="D57" s="40">
        <f t="shared" si="1"/>
        <v>3.4876032830162993</v>
      </c>
      <c r="E57" s="20">
        <v>248171032.34999999</v>
      </c>
      <c r="F57" s="40">
        <f t="shared" si="8"/>
        <v>3.7463736900502691</v>
      </c>
      <c r="G57" s="20">
        <f t="shared" si="3"/>
        <v>-9370720.1899999976</v>
      </c>
      <c r="H57" s="93">
        <f t="shared" si="7"/>
        <v>-3.7759121607651309</v>
      </c>
      <c r="I57" s="20">
        <v>240457880.17999998</v>
      </c>
      <c r="J57" s="40">
        <f t="shared" si="4"/>
        <v>4.1481420431168372</v>
      </c>
      <c r="K57" s="20">
        <f t="shared" si="9"/>
        <v>-1657568.0199999809</v>
      </c>
      <c r="L57" s="93">
        <f t="shared" si="6"/>
        <v>-0.68933819875613267</v>
      </c>
      <c r="M57" s="73" t="s">
        <v>128</v>
      </c>
    </row>
    <row r="58" spans="1:15" ht="15" customHeight="1">
      <c r="A58" s="18">
        <v>45</v>
      </c>
      <c r="B58" s="19" t="s">
        <v>44</v>
      </c>
      <c r="C58" s="20">
        <v>0</v>
      </c>
      <c r="D58" s="40">
        <f t="shared" si="1"/>
        <v>0</v>
      </c>
      <c r="E58" s="20">
        <v>0</v>
      </c>
      <c r="F58" s="40">
        <f t="shared" si="8"/>
        <v>0</v>
      </c>
      <c r="G58" s="20">
        <f t="shared" si="3"/>
        <v>0</v>
      </c>
      <c r="H58" s="93">
        <f t="shared" si="7"/>
        <v>0</v>
      </c>
      <c r="I58" s="20">
        <v>0</v>
      </c>
      <c r="J58" s="40">
        <f t="shared" si="4"/>
        <v>0</v>
      </c>
      <c r="K58" s="20">
        <f t="shared" si="9"/>
        <v>0</v>
      </c>
      <c r="L58" s="93">
        <f t="shared" si="6"/>
        <v>0</v>
      </c>
      <c r="M58" s="73" t="s">
        <v>129</v>
      </c>
      <c r="N58" s="91"/>
    </row>
    <row r="59" spans="1:15" ht="15" customHeight="1">
      <c r="A59" s="18">
        <v>462</v>
      </c>
      <c r="B59" s="19" t="s">
        <v>45</v>
      </c>
      <c r="C59" s="20">
        <v>2813572.16</v>
      </c>
      <c r="D59" s="40">
        <f t="shared" si="1"/>
        <v>4.1091334485545597E-2</v>
      </c>
      <c r="E59" s="20">
        <v>2</v>
      </c>
      <c r="F59" s="40">
        <f t="shared" si="8"/>
        <v>3.0191869329589537E-8</v>
      </c>
      <c r="G59" s="20">
        <f t="shared" si="3"/>
        <v>2813570.16</v>
      </c>
      <c r="H59" s="108">
        <f t="shared" si="7"/>
        <v>140678508</v>
      </c>
      <c r="I59" s="20">
        <v>500000</v>
      </c>
      <c r="J59" s="40">
        <f t="shared" si="4"/>
        <v>8.6255065544361756E-3</v>
      </c>
      <c r="K59" s="20">
        <f t="shared" si="9"/>
        <v>2313572.16</v>
      </c>
      <c r="L59" s="93">
        <f t="shared" si="6"/>
        <v>462.71443199999999</v>
      </c>
      <c r="M59" s="73" t="s">
        <v>130</v>
      </c>
    </row>
    <row r="60" spans="1:15" ht="15" customHeight="1">
      <c r="A60" s="18">
        <v>463</v>
      </c>
      <c r="B60" s="19" t="s">
        <v>46</v>
      </c>
      <c r="C60" s="20">
        <v>17366233.710000001</v>
      </c>
      <c r="D60" s="40">
        <f t="shared" si="1"/>
        <v>0.25362836904519537</v>
      </c>
      <c r="E60" s="20">
        <v>27952555.199999999</v>
      </c>
      <c r="F60" s="40">
        <f t="shared" si="8"/>
        <v>0.42196994701326934</v>
      </c>
      <c r="G60" s="20">
        <f t="shared" si="3"/>
        <v>-10586321.489999998</v>
      </c>
      <c r="H60" s="93">
        <f t="shared" si="7"/>
        <v>-37.872464303370734</v>
      </c>
      <c r="I60" s="20">
        <v>35376645.609999999</v>
      </c>
      <c r="J60" s="40">
        <f t="shared" si="4"/>
        <v>0.61028297716604152</v>
      </c>
      <c r="K60" s="20">
        <f t="shared" si="9"/>
        <v>-18010411.899999999</v>
      </c>
      <c r="L60" s="93">
        <f t="shared" si="6"/>
        <v>-50.910456854928476</v>
      </c>
      <c r="M60" s="73" t="s">
        <v>131</v>
      </c>
    </row>
    <row r="61" spans="1:15" ht="15" customHeight="1">
      <c r="A61" s="18">
        <v>47</v>
      </c>
      <c r="B61" s="19" t="s">
        <v>47</v>
      </c>
      <c r="C61" s="20">
        <v>18267919.309999999</v>
      </c>
      <c r="D61" s="40">
        <f t="shared" si="1"/>
        <v>0.26679720299840015</v>
      </c>
      <c r="E61" s="20">
        <v>74181545.280000001</v>
      </c>
      <c r="F61" s="40">
        <f t="shared" si="8"/>
        <v>1.1198397608803949</v>
      </c>
      <c r="G61" s="20">
        <f t="shared" si="3"/>
        <v>-55913625.969999999</v>
      </c>
      <c r="H61" s="93">
        <f t="shared" si="7"/>
        <v>-75.374037786558233</v>
      </c>
      <c r="I61" s="20">
        <v>24955729.25</v>
      </c>
      <c r="J61" s="40">
        <f t="shared" si="4"/>
        <v>0.43051161243321917</v>
      </c>
      <c r="K61" s="20">
        <f t="shared" si="9"/>
        <v>-6687809.9400000013</v>
      </c>
      <c r="L61" s="93">
        <f t="shared" si="6"/>
        <v>-26.798695694296342</v>
      </c>
      <c r="M61" s="73" t="s">
        <v>132</v>
      </c>
    </row>
    <row r="62" spans="1:15" s="2" customFormat="1" ht="15" customHeight="1">
      <c r="A62" s="15"/>
      <c r="B62" s="16" t="s">
        <v>77</v>
      </c>
      <c r="C62" s="17">
        <f>+C6-C39</f>
        <v>10299544.200000286</v>
      </c>
      <c r="D62" s="39">
        <f t="shared" si="1"/>
        <v>0.15042159635631058</v>
      </c>
      <c r="E62" s="17">
        <f>+E6-E39</f>
        <v>-216312819.69499445</v>
      </c>
      <c r="F62" s="39">
        <f t="shared" si="8"/>
        <v>-3.2654441932731677</v>
      </c>
      <c r="G62" s="17">
        <f t="shared" si="3"/>
        <v>226612363.89499474</v>
      </c>
      <c r="H62" s="97">
        <f t="shared" si="7"/>
        <v>-104.76141183611904</v>
      </c>
      <c r="I62" s="17">
        <f>+I6-I39</f>
        <v>-250360402.64999962</v>
      </c>
      <c r="J62" s="39">
        <f t="shared" si="4"/>
        <v>-4.3189705880577041</v>
      </c>
      <c r="K62" s="17">
        <f t="shared" ref="K62" si="10">+C62-I62</f>
        <v>260659946.8499999</v>
      </c>
      <c r="L62" s="97">
        <f t="shared" si="6"/>
        <v>-104.11388705681182</v>
      </c>
      <c r="M62" s="82" t="s">
        <v>134</v>
      </c>
    </row>
    <row r="63" spans="1:15" ht="15" customHeight="1">
      <c r="A63" s="94"/>
      <c r="B63" s="95" t="s">
        <v>182</v>
      </c>
      <c r="C63" s="20">
        <v>0</v>
      </c>
      <c r="D63" s="40">
        <f t="shared" si="1"/>
        <v>0</v>
      </c>
      <c r="E63" s="20">
        <v>0</v>
      </c>
      <c r="F63" s="40">
        <f t="shared" si="8"/>
        <v>0</v>
      </c>
      <c r="G63" s="20">
        <f t="shared" ref="G63:G64" si="11">+C63-E63</f>
        <v>0</v>
      </c>
      <c r="H63" s="93">
        <f t="shared" si="7"/>
        <v>0</v>
      </c>
      <c r="I63" s="20">
        <v>-30093480.059999999</v>
      </c>
      <c r="J63" s="40">
        <f t="shared" si="4"/>
        <v>-0.51914301900664872</v>
      </c>
      <c r="K63" s="20">
        <f t="shared" ref="K63:K64" si="12">+C63-I63</f>
        <v>30093480.059999999</v>
      </c>
      <c r="L63" s="93">
        <f t="shared" si="6"/>
        <v>-100</v>
      </c>
      <c r="M63" s="73" t="s">
        <v>133</v>
      </c>
    </row>
    <row r="64" spans="1:15" s="2" customFormat="1" ht="15" customHeight="1">
      <c r="A64" s="15"/>
      <c r="B64" s="16" t="s">
        <v>59</v>
      </c>
      <c r="C64" s="17">
        <f>+C62-C63</f>
        <v>10299544.200000286</v>
      </c>
      <c r="D64" s="39">
        <f t="shared" si="1"/>
        <v>0.15042159635631058</v>
      </c>
      <c r="E64" s="17">
        <f>+E62-E63</f>
        <v>-216312819.69499445</v>
      </c>
      <c r="F64" s="39">
        <f t="shared" si="8"/>
        <v>-3.2654441932731677</v>
      </c>
      <c r="G64" s="17">
        <f t="shared" si="11"/>
        <v>226612363.89499474</v>
      </c>
      <c r="H64" s="97">
        <f t="shared" si="7"/>
        <v>-104.76141183611904</v>
      </c>
      <c r="I64" s="17">
        <f>+I62-I63</f>
        <v>-220266922.58999962</v>
      </c>
      <c r="J64" s="39">
        <f t="shared" si="4"/>
        <v>-3.7998275690510548</v>
      </c>
      <c r="K64" s="17">
        <f t="shared" si="12"/>
        <v>230566466.7899999</v>
      </c>
      <c r="L64" s="97">
        <f t="shared" si="6"/>
        <v>-104.67593775719637</v>
      </c>
      <c r="M64" s="82" t="s">
        <v>137</v>
      </c>
    </row>
    <row r="65" spans="1:13" s="2" customFormat="1" ht="15" customHeight="1">
      <c r="A65" s="15"/>
      <c r="B65" s="16" t="s">
        <v>186</v>
      </c>
      <c r="C65" s="17">
        <f>+C64+C46</f>
        <v>134842520.4400003</v>
      </c>
      <c r="D65" s="39">
        <f t="shared" si="1"/>
        <v>1.9693325051503463</v>
      </c>
      <c r="E65" s="17">
        <f>+E64+E46</f>
        <v>-106285010.30499445</v>
      </c>
      <c r="F65" s="39">
        <f t="shared" si="8"/>
        <v>-1.604471571411235</v>
      </c>
      <c r="G65" s="17">
        <f t="shared" ref="G65" si="13">+C65-E65</f>
        <v>241127530.74499476</v>
      </c>
      <c r="H65" s="97">
        <f t="shared" si="7"/>
        <v>-226.86880309185415</v>
      </c>
      <c r="I65" s="17">
        <f>+I64+I46</f>
        <v>-128310962.68999961</v>
      </c>
      <c r="J65" s="39">
        <f t="shared" si="4"/>
        <v>-2.2134940993772143</v>
      </c>
      <c r="K65" s="17">
        <f t="shared" ref="K65" si="14">+C65-I65</f>
        <v>263153483.12999991</v>
      </c>
      <c r="L65" s="97">
        <f t="shared" si="6"/>
        <v>-205.09041286345968</v>
      </c>
      <c r="M65" s="82" t="s">
        <v>136</v>
      </c>
    </row>
    <row r="66" spans="1:13" s="2" customFormat="1" ht="15" customHeight="1">
      <c r="A66" s="15"/>
      <c r="B66" s="16" t="s">
        <v>76</v>
      </c>
      <c r="C66" s="17">
        <f>+C6-(C39-C57)</f>
        <v>249099856.36000013</v>
      </c>
      <c r="D66" s="39">
        <f t="shared" si="1"/>
        <v>3.6380248793726082</v>
      </c>
      <c r="E66" s="17">
        <f>+E6-(E39-E57)</f>
        <v>31858212.655005455</v>
      </c>
      <c r="F66" s="39">
        <f>+E66/$E$2*100</f>
        <v>0.48092949677710028</v>
      </c>
      <c r="G66" s="17">
        <f>+C66-E66</f>
        <v>217241643.70499468</v>
      </c>
      <c r="H66" s="97">
        <f t="shared" si="7"/>
        <v>681.90154312019263</v>
      </c>
      <c r="I66" s="17">
        <f>+I6-(I39-I57)</f>
        <v>-9902522.4699995518</v>
      </c>
      <c r="J66" s="39">
        <f t="shared" si="4"/>
        <v>-0.17082854494086527</v>
      </c>
      <c r="K66" s="17">
        <f>+C66-I66</f>
        <v>259002378.82999969</v>
      </c>
      <c r="L66" s="97">
        <f t="shared" si="6"/>
        <v>-2615.5192236590947</v>
      </c>
      <c r="M66" s="82" t="s">
        <v>135</v>
      </c>
    </row>
    <row r="67" spans="1:13" s="2" customFormat="1" ht="15" customHeight="1">
      <c r="A67" s="15"/>
      <c r="B67" s="16" t="s">
        <v>0</v>
      </c>
      <c r="C67" s="17">
        <f>+C68+C69</f>
        <v>301206013.86999995</v>
      </c>
      <c r="D67" s="39">
        <f t="shared" si="1"/>
        <v>4.3990188845876457</v>
      </c>
      <c r="E67" s="17">
        <f>+E68+E69</f>
        <v>338085896.69</v>
      </c>
      <c r="F67" s="39">
        <f t="shared" si="8"/>
        <v>5.1037226075207949</v>
      </c>
      <c r="G67" s="17">
        <f t="shared" ref="G67" si="15">+C67-E67</f>
        <v>-36879882.820000052</v>
      </c>
      <c r="H67" s="97">
        <f t="shared" si="7"/>
        <v>-10.908435749929026</v>
      </c>
      <c r="I67" s="17">
        <f>+I68+I69</f>
        <v>291576693.18000001</v>
      </c>
      <c r="J67" s="39">
        <f t="shared" si="4"/>
        <v>5.0299933562898316</v>
      </c>
      <c r="K67" s="17">
        <f t="shared" ref="K67" si="16">+C67-I67</f>
        <v>9629320.689999938</v>
      </c>
      <c r="L67" s="97">
        <f t="shared" si="6"/>
        <v>3.3025001364068061</v>
      </c>
      <c r="M67" s="82" t="s">
        <v>138</v>
      </c>
    </row>
    <row r="68" spans="1:13">
      <c r="A68" s="21">
        <v>4611</v>
      </c>
      <c r="B68" s="22" t="s">
        <v>179</v>
      </c>
      <c r="C68" s="23">
        <v>74535564.899999991</v>
      </c>
      <c r="D68" s="41">
        <f t="shared" si="1"/>
        <v>1.0885684298123677</v>
      </c>
      <c r="E68" s="23">
        <v>96555896.689999998</v>
      </c>
      <c r="F68" s="41">
        <f t="shared" si="8"/>
        <v>1.4576015079329137</v>
      </c>
      <c r="G68" s="23">
        <f t="shared" ref="G68:G77" si="17">+C68-E68</f>
        <v>-22020331.790000007</v>
      </c>
      <c r="H68" s="98">
        <f t="shared" si="7"/>
        <v>-22.80578664263038</v>
      </c>
      <c r="I68" s="23">
        <v>40523363.729999997</v>
      </c>
      <c r="J68" s="41">
        <f t="shared" si="4"/>
        <v>0.69906907892183234</v>
      </c>
      <c r="K68" s="23">
        <f t="shared" ref="K68:K71" si="18">+C68-I68</f>
        <v>34012201.169999994</v>
      </c>
      <c r="L68" s="98">
        <f t="shared" si="6"/>
        <v>83.932324563719021</v>
      </c>
      <c r="M68" s="74" t="s">
        <v>139</v>
      </c>
    </row>
    <row r="69" spans="1:13" ht="15" customHeight="1">
      <c r="A69" s="21">
        <v>4612</v>
      </c>
      <c r="B69" s="22" t="s">
        <v>180</v>
      </c>
      <c r="C69" s="23">
        <v>226670448.96999997</v>
      </c>
      <c r="D69" s="41">
        <f t="shared" si="1"/>
        <v>3.3104504547752787</v>
      </c>
      <c r="E69" s="23">
        <v>241530000</v>
      </c>
      <c r="F69" s="41">
        <f t="shared" si="8"/>
        <v>3.646121099587881</v>
      </c>
      <c r="G69" s="23">
        <f t="shared" si="17"/>
        <v>-14859551.030000031</v>
      </c>
      <c r="H69" s="98">
        <f t="shared" si="7"/>
        <v>-6.1522589450585912</v>
      </c>
      <c r="I69" s="23">
        <v>251053329.44999999</v>
      </c>
      <c r="J69" s="41">
        <f t="shared" si="4"/>
        <v>4.3309242773679983</v>
      </c>
      <c r="K69" s="23">
        <f t="shared" si="18"/>
        <v>-24382880.480000019</v>
      </c>
      <c r="L69" s="98">
        <f t="shared" si="6"/>
        <v>-9.7122314742518228</v>
      </c>
      <c r="M69" s="74" t="s">
        <v>140</v>
      </c>
    </row>
    <row r="70" spans="1:13" s="2" customFormat="1" ht="15" customHeight="1">
      <c r="A70" s="83">
        <v>4418</v>
      </c>
      <c r="B70" s="16" t="s">
        <v>63</v>
      </c>
      <c r="C70" s="17">
        <v>859046.62</v>
      </c>
      <c r="D70" s="39">
        <f t="shared" si="1"/>
        <v>1.2546105091222321E-2</v>
      </c>
      <c r="E70" s="17">
        <v>779001</v>
      </c>
      <c r="F70" s="39">
        <f t="shared" si="8"/>
        <v>1.1759748199809791E-2</v>
      </c>
      <c r="G70" s="17">
        <f t="shared" si="17"/>
        <v>80045.62</v>
      </c>
      <c r="H70" s="97">
        <f t="shared" si="7"/>
        <v>10.275419415379446</v>
      </c>
      <c r="I70" s="17">
        <v>27692761.82</v>
      </c>
      <c r="J70" s="39">
        <f t="shared" si="4"/>
        <v>0.47772819717769976</v>
      </c>
      <c r="K70" s="17">
        <f t="shared" si="18"/>
        <v>-26833715.199999999</v>
      </c>
      <c r="L70" s="97">
        <f t="shared" si="6"/>
        <v>-96.897938076441378</v>
      </c>
      <c r="M70" s="82" t="s">
        <v>141</v>
      </c>
    </row>
    <row r="71" spans="1:13" s="2" customFormat="1" ht="15" customHeight="1">
      <c r="A71" s="83">
        <v>45</v>
      </c>
      <c r="B71" s="16" t="s">
        <v>44</v>
      </c>
      <c r="C71" s="17">
        <v>10111595.669999998</v>
      </c>
      <c r="D71" s="39">
        <f t="shared" si="1"/>
        <v>0.14767666732193016</v>
      </c>
      <c r="E71" s="17">
        <v>4524007</v>
      </c>
      <c r="F71" s="39">
        <f t="shared" si="8"/>
        <v>6.8294114095074188E-2</v>
      </c>
      <c r="G71" s="17">
        <f t="shared" si="17"/>
        <v>5587588.6699999981</v>
      </c>
      <c r="H71" s="97">
        <f t="shared" si="7"/>
        <v>123.50972644383614</v>
      </c>
      <c r="I71" s="17">
        <v>23121894.739999998</v>
      </c>
      <c r="J71" s="39">
        <f t="shared" ref="J71:J78" si="19">IFERROR(I71/$I$2*100,0)</f>
        <v>0.39887610926170664</v>
      </c>
      <c r="K71" s="17">
        <f t="shared" si="18"/>
        <v>-13010299.07</v>
      </c>
      <c r="L71" s="97">
        <f t="shared" ref="L71:L78" si="20">IFERROR(C71/I71*100-100,0)</f>
        <v>-56.268308528767228</v>
      </c>
      <c r="M71" s="82" t="s">
        <v>108</v>
      </c>
    </row>
    <row r="72" spans="1:13" s="2" customFormat="1" ht="15" customHeight="1">
      <c r="A72" s="15"/>
      <c r="B72" s="16" t="s">
        <v>54</v>
      </c>
      <c r="C72" s="17">
        <f>+C64-C67-C70-C71</f>
        <v>-301877111.95999968</v>
      </c>
      <c r="D72" s="39">
        <f t="shared" si="1"/>
        <v>-4.4088200606444881</v>
      </c>
      <c r="E72" s="17">
        <f>+E64-E67-E70-E71</f>
        <v>-559701724.38499451</v>
      </c>
      <c r="F72" s="39">
        <f t="shared" si="8"/>
        <v>-8.4492206630888465</v>
      </c>
      <c r="G72" s="17">
        <f t="shared" si="17"/>
        <v>257824612.42499483</v>
      </c>
      <c r="H72" s="97">
        <f t="shared" si="7"/>
        <v>-46.064645005032801</v>
      </c>
      <c r="I72" s="17">
        <f>+I64-I67-I70-I71</f>
        <v>-562658272.32999969</v>
      </c>
      <c r="J72" s="39">
        <f t="shared" si="19"/>
        <v>-9.7064252317802939</v>
      </c>
      <c r="K72" s="17">
        <f t="shared" ref="K72:K78" si="21">+C72-I72</f>
        <v>260781160.37</v>
      </c>
      <c r="L72" s="97">
        <f t="shared" si="20"/>
        <v>-46.348054084425087</v>
      </c>
      <c r="M72" s="82" t="s">
        <v>142</v>
      </c>
    </row>
    <row r="73" spans="1:13" s="2" customFormat="1" ht="15" customHeight="1">
      <c r="A73" s="15"/>
      <c r="B73" s="16" t="s">
        <v>48</v>
      </c>
      <c r="C73" s="17">
        <f>SUM(C74:C78)+C63</f>
        <v>301877111.95999968</v>
      </c>
      <c r="D73" s="39">
        <f t="shared" ref="D73:D78" si="22">+C73/$C$2*100</f>
        <v>4.4088200606444881</v>
      </c>
      <c r="E73" s="17">
        <f>SUM(E74:E78)+E63</f>
        <v>559701724.38499451</v>
      </c>
      <c r="F73" s="39">
        <f t="shared" si="8"/>
        <v>8.4492206630888465</v>
      </c>
      <c r="G73" s="17">
        <f t="shared" si="17"/>
        <v>-257824612.42499483</v>
      </c>
      <c r="H73" s="97">
        <f t="shared" si="7"/>
        <v>-46.064645005032801</v>
      </c>
      <c r="I73" s="17">
        <f>SUM(I74:I78)+I63</f>
        <v>562658272.32999969</v>
      </c>
      <c r="J73" s="39">
        <f t="shared" si="19"/>
        <v>9.7064252317802939</v>
      </c>
      <c r="K73" s="17">
        <f t="shared" si="21"/>
        <v>-260781160.37</v>
      </c>
      <c r="L73" s="97">
        <f t="shared" si="20"/>
        <v>-46.348054084425087</v>
      </c>
      <c r="M73" s="82" t="s">
        <v>143</v>
      </c>
    </row>
    <row r="74" spans="1:13">
      <c r="A74" s="21">
        <v>7511</v>
      </c>
      <c r="B74" s="22" t="s">
        <v>55</v>
      </c>
      <c r="C74" s="23">
        <v>159000000</v>
      </c>
      <c r="D74" s="41">
        <f t="shared" si="22"/>
        <v>2.3221448790571451</v>
      </c>
      <c r="E74" s="23">
        <v>100000000</v>
      </c>
      <c r="F74" s="41">
        <f t="shared" si="8"/>
        <v>1.5095934664794772</v>
      </c>
      <c r="G74" s="23">
        <f t="shared" si="17"/>
        <v>59000000</v>
      </c>
      <c r="H74" s="98">
        <f t="shared" si="7"/>
        <v>59</v>
      </c>
      <c r="I74" s="23">
        <v>105000000</v>
      </c>
      <c r="J74" s="41">
        <f t="shared" si="19"/>
        <v>1.8113563764315967</v>
      </c>
      <c r="K74" s="23">
        <f t="shared" si="21"/>
        <v>54000000</v>
      </c>
      <c r="L74" s="98">
        <f t="shared" si="20"/>
        <v>51.428571428571416</v>
      </c>
      <c r="M74" s="74" t="s">
        <v>144</v>
      </c>
    </row>
    <row r="75" spans="1:13" ht="15" customHeight="1">
      <c r="A75" s="21">
        <v>7512</v>
      </c>
      <c r="B75" s="22" t="s">
        <v>49</v>
      </c>
      <c r="C75" s="23">
        <v>159232022.56999999</v>
      </c>
      <c r="D75" s="41">
        <f t="shared" si="22"/>
        <v>2.3255334955524352</v>
      </c>
      <c r="E75" s="23">
        <v>400953820.38499451</v>
      </c>
      <c r="F75" s="41">
        <f t="shared" si="8"/>
        <v>6.0527726761317346</v>
      </c>
      <c r="G75" s="23">
        <f t="shared" si="17"/>
        <v>-241721797.81499451</v>
      </c>
      <c r="H75" s="98">
        <f t="shared" ref="H75:H78" si="23">IFERROR(C75/E75*100-100,0)</f>
        <v>-60.286692762496699</v>
      </c>
      <c r="I75" s="23">
        <v>111187337.61</v>
      </c>
      <c r="J75" s="41">
        <f t="shared" si="19"/>
        <v>1.9180942186507257</v>
      </c>
      <c r="K75" s="23">
        <f t="shared" si="21"/>
        <v>48044684.959999993</v>
      </c>
      <c r="L75" s="98">
        <f t="shared" si="20"/>
        <v>43.210572348194205</v>
      </c>
      <c r="M75" s="74" t="s">
        <v>145</v>
      </c>
    </row>
    <row r="76" spans="1:13" ht="15" customHeight="1">
      <c r="A76" s="18">
        <v>72</v>
      </c>
      <c r="B76" s="19" t="s">
        <v>172</v>
      </c>
      <c r="C76" s="20">
        <v>2717869.5300000007</v>
      </c>
      <c r="D76" s="40">
        <f t="shared" si="22"/>
        <v>3.9693627742358177E-2</v>
      </c>
      <c r="E76" s="20">
        <v>6000000</v>
      </c>
      <c r="F76" s="40">
        <f t="shared" si="8"/>
        <v>9.0575607988768625E-2</v>
      </c>
      <c r="G76" s="20">
        <f t="shared" si="17"/>
        <v>-3282130.4699999993</v>
      </c>
      <c r="H76" s="93">
        <f t="shared" si="23"/>
        <v>-54.702174499999991</v>
      </c>
      <c r="I76" s="20">
        <v>4515414.6999999993</v>
      </c>
      <c r="J76" s="40">
        <f t="shared" si="19"/>
        <v>7.7895478181694913E-2</v>
      </c>
      <c r="K76" s="20">
        <f t="shared" si="21"/>
        <v>-1797545.1699999985</v>
      </c>
      <c r="L76" s="93">
        <f t="shared" si="20"/>
        <v>-39.80908265192118</v>
      </c>
      <c r="M76" s="73" t="s">
        <v>146</v>
      </c>
    </row>
    <row r="77" spans="1:13" ht="15" customHeight="1">
      <c r="A77" s="28">
        <v>73</v>
      </c>
      <c r="B77" s="29" t="s">
        <v>187</v>
      </c>
      <c r="C77" s="30">
        <v>13858053.869999999</v>
      </c>
      <c r="D77" s="40">
        <f t="shared" si="22"/>
        <v>0.20239250835168898</v>
      </c>
      <c r="E77" s="30">
        <v>9747904</v>
      </c>
      <c r="F77" s="40">
        <f t="shared" si="8"/>
        <v>0.1471537219026916</v>
      </c>
      <c r="G77" s="20">
        <f t="shared" si="17"/>
        <v>4110149.8699999992</v>
      </c>
      <c r="H77" s="93">
        <f t="shared" si="23"/>
        <v>42.164447557136384</v>
      </c>
      <c r="I77" s="30">
        <v>15044565.630000001</v>
      </c>
      <c r="J77" s="40">
        <f t="shared" si="19"/>
        <v>0.25953399890042045</v>
      </c>
      <c r="K77" s="20">
        <f t="shared" si="21"/>
        <v>-1186511.7600000016</v>
      </c>
      <c r="L77" s="93">
        <f t="shared" si="20"/>
        <v>-7.8866468409962494</v>
      </c>
      <c r="M77" s="73" t="s">
        <v>108</v>
      </c>
    </row>
    <row r="78" spans="1:13" ht="15" customHeight="1" thickBot="1">
      <c r="A78" s="24"/>
      <c r="B78" s="25" t="s">
        <v>50</v>
      </c>
      <c r="C78" s="26">
        <f>+-C72-(SUM(C74:C77)+C63)</f>
        <v>-32930834.010000288</v>
      </c>
      <c r="D78" s="42">
        <f t="shared" si="22"/>
        <v>-0.48094445005913855</v>
      </c>
      <c r="E78" s="26">
        <f>+-E72-(SUM(E74:E77)+E63)</f>
        <v>43000000</v>
      </c>
      <c r="F78" s="42">
        <f t="shared" si="8"/>
        <v>0.64912519058617513</v>
      </c>
      <c r="G78" s="26">
        <f>+C78-E78</f>
        <v>-75930834.010000288</v>
      </c>
      <c r="H78" s="99">
        <f t="shared" si="23"/>
        <v>-176.58333490697743</v>
      </c>
      <c r="I78" s="26">
        <v>357004434.44999969</v>
      </c>
      <c r="J78" s="42">
        <f t="shared" si="19"/>
        <v>6.1586881786225049</v>
      </c>
      <c r="K78" s="26">
        <f t="shared" si="21"/>
        <v>-389935268.45999998</v>
      </c>
      <c r="L78" s="99">
        <f t="shared" si="20"/>
        <v>-109.22420867425176</v>
      </c>
      <c r="M78" s="77" t="s">
        <v>147</v>
      </c>
    </row>
    <row r="79" spans="1:13" ht="13.5" customHeight="1"/>
    <row r="82" spans="9:9">
      <c r="I82" s="7"/>
    </row>
  </sheetData>
  <sheetProtection algorithmName="SHA-512" hashValue="aM286QYntNlZmRxWXDrYlyEu9c1n7Ter9KCjVo2VEBCETANLEgH7hFtAsY7ua88jG60IHbFGfUvSeIg6iNNQPg==" saltValue="s/ssGvfhqiVruExZFTIf+w=="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80"/>
  <sheetViews>
    <sheetView zoomScale="90" zoomScaleNormal="90" zoomScaleSheetLayoutView="90" workbookViewId="0">
      <pane ySplit="5" topLeftCell="A38" activePane="bottomLeft" state="frozen"/>
      <selection activeCell="G14" sqref="G14"/>
      <selection pane="bottomLeft" activeCell="D55" sqref="D55"/>
    </sheetView>
  </sheetViews>
  <sheetFormatPr defaultColWidth="9.140625" defaultRowHeight="13.5"/>
  <cols>
    <col min="1" max="1" width="13.140625" style="4" customWidth="1"/>
    <col min="2" max="2" width="63.7109375" style="4" customWidth="1"/>
    <col min="3" max="3" width="9.140625" style="6" customWidth="1"/>
    <col min="4" max="4" width="9.140625" style="4" customWidth="1"/>
    <col min="5" max="5" width="9.140625" style="6" customWidth="1"/>
    <col min="6" max="6" width="10" style="7" customWidth="1"/>
    <col min="7" max="7" width="11.42578125" style="6" customWidth="1"/>
    <col min="8" max="8" width="10.42578125" style="100" customWidth="1"/>
    <col min="9" max="9" width="9.140625" style="6" customWidth="1"/>
    <col min="10" max="10" width="10.42578125" style="7" customWidth="1"/>
    <col min="11" max="11" width="11.140625" style="6" customWidth="1"/>
    <col min="12" max="12" width="11.7109375" style="100"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58</v>
      </c>
      <c r="B2" s="8"/>
      <c r="C2" s="111">
        <f>+'Centralna država-ek klas'!C2:D2</f>
        <v>6847118000</v>
      </c>
      <c r="D2" s="112"/>
      <c r="E2" s="111">
        <f>+'Centralna država-ek klas'!E2:F2</f>
        <v>6624300000</v>
      </c>
      <c r="F2" s="112"/>
      <c r="G2" s="9"/>
      <c r="H2" s="101"/>
      <c r="I2" s="111">
        <f>+'Centralna država-ek klas'!I2:J2</f>
        <v>5796761000</v>
      </c>
      <c r="J2" s="112"/>
      <c r="K2" s="9"/>
      <c r="L2" s="101"/>
      <c r="M2" s="8" t="s">
        <v>78</v>
      </c>
    </row>
    <row r="3" spans="1:16384" ht="15" customHeight="1" thickBot="1">
      <c r="A3" s="8"/>
      <c r="B3" s="8"/>
      <c r="C3" s="11"/>
      <c r="D3" s="8"/>
      <c r="E3" s="11"/>
      <c r="F3" s="10"/>
      <c r="G3" s="11"/>
      <c r="H3" s="101"/>
      <c r="I3" s="11"/>
      <c r="J3" s="10"/>
      <c r="K3" s="11"/>
      <c r="L3" s="101"/>
      <c r="M3" s="8"/>
    </row>
    <row r="4" spans="1:16384" ht="15" customHeight="1">
      <c r="A4" s="117" t="s">
        <v>70</v>
      </c>
      <c r="B4" s="115" t="s">
        <v>71</v>
      </c>
      <c r="C4" s="121" t="s">
        <v>192</v>
      </c>
      <c r="D4" s="122"/>
      <c r="E4" s="119" t="s">
        <v>194</v>
      </c>
      <c r="F4" s="120"/>
      <c r="G4" s="119" t="s">
        <v>171</v>
      </c>
      <c r="H4" s="120"/>
      <c r="I4" s="119" t="s">
        <v>193</v>
      </c>
      <c r="J4" s="120"/>
      <c r="K4" s="119" t="s">
        <v>171</v>
      </c>
      <c r="L4" s="120"/>
      <c r="M4" s="113" t="s">
        <v>148</v>
      </c>
    </row>
    <row r="5" spans="1:16384" ht="23.25" customHeight="1">
      <c r="A5" s="118"/>
      <c r="B5" s="116"/>
      <c r="C5" s="12" t="s">
        <v>61</v>
      </c>
      <c r="D5" s="13" t="s">
        <v>56</v>
      </c>
      <c r="E5" s="12" t="s">
        <v>61</v>
      </c>
      <c r="F5" s="13" t="s">
        <v>56</v>
      </c>
      <c r="G5" s="12" t="s">
        <v>64</v>
      </c>
      <c r="H5" s="102" t="s">
        <v>62</v>
      </c>
      <c r="I5" s="12" t="s">
        <v>61</v>
      </c>
      <c r="J5" s="14" t="s">
        <v>56</v>
      </c>
      <c r="K5" s="12" t="s">
        <v>61</v>
      </c>
      <c r="L5" s="104" t="s">
        <v>62</v>
      </c>
      <c r="M5" s="114"/>
    </row>
    <row r="6" spans="1:16384" s="34" customFormat="1" ht="15" customHeight="1">
      <c r="A6" s="31"/>
      <c r="B6" s="32" t="s">
        <v>51</v>
      </c>
      <c r="C6" s="33">
        <f>+C7+C12+C19+C30+C35+C36</f>
        <v>374906538.47000003</v>
      </c>
      <c r="D6" s="43">
        <f>+C6/$C$2*100</f>
        <v>5.4753918140449755</v>
      </c>
      <c r="E6" s="33">
        <f>+E7+E12+E19+E30+E35+E36</f>
        <v>354502100</v>
      </c>
      <c r="F6" s="43">
        <f t="shared" ref="F6:F62" si="0">+E6/$E$2*100</f>
        <v>5.3515405401325422</v>
      </c>
      <c r="G6" s="33">
        <f>+C6-E6</f>
        <v>20404438.470000029</v>
      </c>
      <c r="H6" s="103">
        <f t="shared" ref="H6:H34" si="1">IFERROR(C6/E6*100-100,0)</f>
        <v>5.7558018612583624</v>
      </c>
      <c r="I6" s="33">
        <f>+I7+I12+I19+I30+I35+I36</f>
        <v>326884967.94</v>
      </c>
      <c r="J6" s="43">
        <f>+I6/$I$2*100</f>
        <v>5.6390968670262582</v>
      </c>
      <c r="K6" s="33">
        <f>+C6-I6</f>
        <v>48021570.530000031</v>
      </c>
      <c r="L6" s="103">
        <f>IFERROR(C6/I6*100-100,0)</f>
        <v>14.690663456514287</v>
      </c>
      <c r="M6" s="72" t="s">
        <v>149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223509777.18999997</v>
      </c>
      <c r="D7" s="40">
        <f t="shared" ref="D7:D66" si="2">+C7/$C$2*100</f>
        <v>3.2642898397544773</v>
      </c>
      <c r="E7" s="20">
        <f>+SUM(E8:E11)</f>
        <v>209730000</v>
      </c>
      <c r="F7" s="40">
        <f t="shared" si="0"/>
        <v>3.1660703772474075</v>
      </c>
      <c r="G7" s="20">
        <f t="shared" ref="G7:G65" si="3">+C7-E7</f>
        <v>13779777.189999968</v>
      </c>
      <c r="H7" s="93">
        <f t="shared" si="1"/>
        <v>6.5702461212034251</v>
      </c>
      <c r="I7" s="69">
        <f>+SUM(I8:I11)</f>
        <v>176998298.94999999</v>
      </c>
      <c r="J7" s="40">
        <f t="shared" ref="J7:J66" si="4">+I7/$I$2*100</f>
        <v>3.0533999754345573</v>
      </c>
      <c r="K7" s="20">
        <f>+C7-I7</f>
        <v>46511478.23999998</v>
      </c>
      <c r="L7" s="93">
        <f t="shared" ref="L7:L70" si="5">IFERROR(C7/I7*100-100,0)</f>
        <v>26.277923864759273</v>
      </c>
      <c r="M7" s="73" t="s">
        <v>79</v>
      </c>
    </row>
    <row r="8" spans="1:16384" ht="15" customHeight="1">
      <c r="A8" s="21">
        <v>7111</v>
      </c>
      <c r="B8" s="22" t="s">
        <v>2</v>
      </c>
      <c r="C8" s="23">
        <v>84100908.330000013</v>
      </c>
      <c r="D8" s="41">
        <f t="shared" si="2"/>
        <v>1.2282672553620371</v>
      </c>
      <c r="E8" s="23">
        <v>83700000</v>
      </c>
      <c r="F8" s="41">
        <f t="shared" si="0"/>
        <v>1.2635297314433223</v>
      </c>
      <c r="G8" s="23">
        <f t="shared" si="3"/>
        <v>400908.33000001311</v>
      </c>
      <c r="H8" s="98">
        <f t="shared" si="1"/>
        <v>0.47898247311830744</v>
      </c>
      <c r="I8" s="23">
        <v>53629724.480000012</v>
      </c>
      <c r="J8" s="41">
        <f t="shared" si="4"/>
        <v>0.92516708002969261</v>
      </c>
      <c r="K8" s="23">
        <f t="shared" ref="K8:K65" si="6">+C8-I8</f>
        <v>30471183.850000001</v>
      </c>
      <c r="L8" s="98">
        <f t="shared" si="5"/>
        <v>56.817714701039591</v>
      </c>
      <c r="M8" s="74" t="s">
        <v>80</v>
      </c>
    </row>
    <row r="9" spans="1:16384" ht="15" customHeight="1">
      <c r="A9" s="21">
        <v>71131</v>
      </c>
      <c r="B9" s="22" t="s">
        <v>66</v>
      </c>
      <c r="C9" s="23">
        <v>92688093.199999973</v>
      </c>
      <c r="D9" s="41">
        <f t="shared" si="2"/>
        <v>1.3536803834839706</v>
      </c>
      <c r="E9" s="23">
        <v>86400000</v>
      </c>
      <c r="F9" s="41">
        <f t="shared" si="0"/>
        <v>1.3042887550382682</v>
      </c>
      <c r="G9" s="23">
        <f t="shared" ref="G9" si="7">+C9-E9</f>
        <v>6288093.1999999732</v>
      </c>
      <c r="H9" s="98">
        <f t="shared" si="1"/>
        <v>7.2778856481481142</v>
      </c>
      <c r="I9" s="23">
        <v>83008167.709999964</v>
      </c>
      <c r="J9" s="41">
        <f t="shared" ref="J9" si="8">+I9/$I$2*100</f>
        <v>1.4319749893086839</v>
      </c>
      <c r="K9" s="23">
        <f t="shared" ref="K9" si="9">+C9-I9</f>
        <v>9679925.4900000095</v>
      </c>
      <c r="L9" s="98">
        <f t="shared" si="5"/>
        <v>11.661413276604435</v>
      </c>
      <c r="M9" s="74" t="s">
        <v>150</v>
      </c>
    </row>
    <row r="10" spans="1:16384" ht="15" customHeight="1">
      <c r="A10" s="21">
        <v>71132</v>
      </c>
      <c r="B10" s="22" t="s">
        <v>4</v>
      </c>
      <c r="C10" s="23">
        <v>24827401.819999997</v>
      </c>
      <c r="D10" s="41">
        <f t="shared" si="2"/>
        <v>0.36259637733715117</v>
      </c>
      <c r="E10" s="23">
        <v>21930000</v>
      </c>
      <c r="F10" s="41">
        <f t="shared" si="0"/>
        <v>0.33105384719894931</v>
      </c>
      <c r="G10" s="23">
        <f t="shared" si="3"/>
        <v>2897401.8199999966</v>
      </c>
      <c r="H10" s="98">
        <f t="shared" si="1"/>
        <v>13.212046602827158</v>
      </c>
      <c r="I10" s="23">
        <v>22957930.459999997</v>
      </c>
      <c r="J10" s="41">
        <f t="shared" si="4"/>
        <v>0.39604755931803975</v>
      </c>
      <c r="K10" s="23">
        <f t="shared" si="6"/>
        <v>1869471.3599999994</v>
      </c>
      <c r="L10" s="98">
        <f t="shared" si="5"/>
        <v>8.1430308505255482</v>
      </c>
      <c r="M10" s="74" t="s">
        <v>82</v>
      </c>
    </row>
    <row r="11" spans="1:16384" ht="15" customHeight="1">
      <c r="A11" s="21"/>
      <c r="B11" s="22" t="s">
        <v>159</v>
      </c>
      <c r="C11" s="23">
        <v>21893373.839999996</v>
      </c>
      <c r="D11" s="41">
        <f t="shared" si="2"/>
        <v>0.31974582357131859</v>
      </c>
      <c r="E11" s="23">
        <v>17700000</v>
      </c>
      <c r="F11" s="41">
        <f t="shared" si="0"/>
        <v>0.26719804356686744</v>
      </c>
      <c r="G11" s="23">
        <f t="shared" si="3"/>
        <v>4193373.8399999961</v>
      </c>
      <c r="H11" s="98">
        <f t="shared" si="1"/>
        <v>23.691377627118612</v>
      </c>
      <c r="I11" s="23">
        <v>17402476.299999997</v>
      </c>
      <c r="J11" s="41">
        <f t="shared" si="4"/>
        <v>0.3002103467781404</v>
      </c>
      <c r="K11" s="23">
        <f t="shared" si="6"/>
        <v>4490897.5399999991</v>
      </c>
      <c r="L11" s="98">
        <f t="shared" si="5"/>
        <v>25.806083356079611</v>
      </c>
      <c r="M11" s="74" t="s">
        <v>160</v>
      </c>
      <c r="P11" s="87"/>
    </row>
    <row r="12" spans="1:16384" ht="15" customHeight="1">
      <c r="A12" s="18">
        <v>713</v>
      </c>
      <c r="B12" s="19" t="s">
        <v>13</v>
      </c>
      <c r="C12" s="69">
        <f>SUM(C13:C18)</f>
        <v>4350834.99</v>
      </c>
      <c r="D12" s="40">
        <f t="shared" si="2"/>
        <v>6.3542573532397145E-2</v>
      </c>
      <c r="E12" s="20">
        <f>SUM(E13:E18)</f>
        <v>4438500</v>
      </c>
      <c r="F12" s="40">
        <f t="shared" si="0"/>
        <v>6.7003306009691593E-2</v>
      </c>
      <c r="G12" s="20">
        <f t="shared" si="3"/>
        <v>-87665.009999999776</v>
      </c>
      <c r="H12" s="93">
        <f t="shared" si="1"/>
        <v>-1.9751044271713312</v>
      </c>
      <c r="I12" s="69">
        <f>I13+I17+I18</f>
        <v>4052318.83</v>
      </c>
      <c r="J12" s="40">
        <f t="shared" si="4"/>
        <v>6.9906605257660265E-2</v>
      </c>
      <c r="K12" s="20">
        <f t="shared" si="6"/>
        <v>298516.16000000015</v>
      </c>
      <c r="L12" s="93">
        <f t="shared" si="5"/>
        <v>7.3665516590164231</v>
      </c>
      <c r="M12" s="73" t="s">
        <v>92</v>
      </c>
    </row>
    <row r="13" spans="1:16384">
      <c r="A13" s="21">
        <v>7131</v>
      </c>
      <c r="B13" s="22" t="s">
        <v>14</v>
      </c>
      <c r="C13" s="23">
        <v>1104356.46</v>
      </c>
      <c r="D13" s="41">
        <f t="shared" si="2"/>
        <v>1.6128777976369035E-2</v>
      </c>
      <c r="E13" s="23">
        <v>1092500</v>
      </c>
      <c r="F13" s="41">
        <f t="shared" si="0"/>
        <v>1.6492308621288285E-2</v>
      </c>
      <c r="G13" s="23">
        <f t="shared" si="3"/>
        <v>11856.459999999963</v>
      </c>
      <c r="H13" s="98">
        <f t="shared" si="1"/>
        <v>1.0852594965675024</v>
      </c>
      <c r="I13" s="23">
        <v>985996.20000000007</v>
      </c>
      <c r="J13" s="41">
        <f t="shared" si="4"/>
        <v>1.7009433371498326E-2</v>
      </c>
      <c r="K13" s="23">
        <f t="shared" si="6"/>
        <v>118360.25999999989</v>
      </c>
      <c r="L13" s="98">
        <f t="shared" si="5"/>
        <v>12.004129427679317</v>
      </c>
      <c r="M13" s="74" t="s">
        <v>93</v>
      </c>
      <c r="P13" s="86"/>
    </row>
    <row r="14" spans="1:16384" hidden="1">
      <c r="A14" s="21">
        <v>7132</v>
      </c>
      <c r="B14" s="22" t="s">
        <v>15</v>
      </c>
      <c r="C14" s="23"/>
      <c r="D14" s="41">
        <f t="shared" si="2"/>
        <v>0</v>
      </c>
      <c r="E14" s="23">
        <v>0</v>
      </c>
      <c r="F14" s="41">
        <f t="shared" si="0"/>
        <v>0</v>
      </c>
      <c r="G14" s="23">
        <f t="shared" si="3"/>
        <v>0</v>
      </c>
      <c r="H14" s="98">
        <f t="shared" si="1"/>
        <v>0</v>
      </c>
      <c r="I14" s="23"/>
      <c r="J14" s="41">
        <f t="shared" si="4"/>
        <v>0</v>
      </c>
      <c r="K14" s="23">
        <f t="shared" si="6"/>
        <v>0</v>
      </c>
      <c r="L14" s="98">
        <f t="shared" si="5"/>
        <v>0</v>
      </c>
      <c r="M14" s="74" t="s">
        <v>94</v>
      </c>
    </row>
    <row r="15" spans="1:16384" ht="14.25" hidden="1" customHeight="1">
      <c r="A15" s="21">
        <v>7133</v>
      </c>
      <c r="B15" s="22" t="s">
        <v>16</v>
      </c>
      <c r="C15" s="23"/>
      <c r="D15" s="41">
        <f t="shared" si="2"/>
        <v>0</v>
      </c>
      <c r="E15" s="23">
        <v>0</v>
      </c>
      <c r="F15" s="41">
        <f t="shared" si="0"/>
        <v>0</v>
      </c>
      <c r="G15" s="23">
        <f t="shared" si="3"/>
        <v>0</v>
      </c>
      <c r="H15" s="98">
        <f t="shared" si="1"/>
        <v>0</v>
      </c>
      <c r="I15" s="23"/>
      <c r="J15" s="41">
        <f t="shared" si="4"/>
        <v>0</v>
      </c>
      <c r="K15" s="23">
        <f t="shared" si="6"/>
        <v>0</v>
      </c>
      <c r="L15" s="98">
        <f t="shared" si="5"/>
        <v>0</v>
      </c>
      <c r="M15" s="74" t="s">
        <v>156</v>
      </c>
    </row>
    <row r="16" spans="1:16384" hidden="1">
      <c r="A16" s="21">
        <v>7134</v>
      </c>
      <c r="B16" s="22" t="s">
        <v>151</v>
      </c>
      <c r="C16" s="23"/>
      <c r="D16" s="41">
        <f t="shared" si="2"/>
        <v>0</v>
      </c>
      <c r="E16" s="23">
        <v>0</v>
      </c>
      <c r="F16" s="41">
        <f t="shared" ref="F16:F17" si="10">+E16/$E$2*100</f>
        <v>0</v>
      </c>
      <c r="G16" s="23">
        <f t="shared" ref="G16:G17" si="11">+C16-E16</f>
        <v>0</v>
      </c>
      <c r="H16" s="98">
        <f t="shared" si="1"/>
        <v>0</v>
      </c>
      <c r="I16" s="23"/>
      <c r="J16" s="41">
        <f t="shared" ref="J16:J17" si="12">+I16/$I$2*100</f>
        <v>0</v>
      </c>
      <c r="K16" s="23">
        <f t="shared" ref="K16:K17" si="13">+C16-I16</f>
        <v>0</v>
      </c>
      <c r="L16" s="98">
        <f t="shared" si="5"/>
        <v>0</v>
      </c>
      <c r="M16" s="74" t="s">
        <v>155</v>
      </c>
    </row>
    <row r="17" spans="1:16" ht="15" customHeight="1">
      <c r="A17" s="21">
        <v>7135</v>
      </c>
      <c r="B17" s="22" t="s">
        <v>17</v>
      </c>
      <c r="C17" s="23">
        <v>2324386.71</v>
      </c>
      <c r="D17" s="41">
        <f t="shared" si="2"/>
        <v>3.3946935192295503E-2</v>
      </c>
      <c r="E17" s="23">
        <v>2400000</v>
      </c>
      <c r="F17" s="41">
        <f t="shared" si="10"/>
        <v>3.6230243195507453E-2</v>
      </c>
      <c r="G17" s="23">
        <f t="shared" si="11"/>
        <v>-75613.290000000037</v>
      </c>
      <c r="H17" s="98">
        <f t="shared" si="1"/>
        <v>-3.1505537500000003</v>
      </c>
      <c r="I17" s="23">
        <v>2192538.94</v>
      </c>
      <c r="J17" s="41">
        <f t="shared" si="12"/>
        <v>3.7823517995653089E-2</v>
      </c>
      <c r="K17" s="23">
        <f t="shared" si="13"/>
        <v>131847.77000000002</v>
      </c>
      <c r="L17" s="98">
        <f t="shared" si="5"/>
        <v>6.0134744972876035</v>
      </c>
      <c r="M17" s="74" t="s">
        <v>154</v>
      </c>
    </row>
    <row r="18" spans="1:16" ht="15" customHeight="1">
      <c r="A18" s="21">
        <v>7136</v>
      </c>
      <c r="B18" s="22" t="s">
        <v>18</v>
      </c>
      <c r="C18" s="23">
        <v>922091.82000000007</v>
      </c>
      <c r="D18" s="41">
        <f t="shared" si="2"/>
        <v>1.3466860363732597E-2</v>
      </c>
      <c r="E18" s="23">
        <v>946000</v>
      </c>
      <c r="F18" s="41">
        <f t="shared" si="0"/>
        <v>1.4280754192895852E-2</v>
      </c>
      <c r="G18" s="23">
        <f t="shared" si="3"/>
        <v>-23908.179999999935</v>
      </c>
      <c r="H18" s="98">
        <f t="shared" si="1"/>
        <v>-2.5272917547568596</v>
      </c>
      <c r="I18" s="23">
        <v>873783.69000000006</v>
      </c>
      <c r="J18" s="41">
        <f t="shared" si="4"/>
        <v>1.5073653890508855E-2</v>
      </c>
      <c r="K18" s="23">
        <f t="shared" si="6"/>
        <v>48308.130000000005</v>
      </c>
      <c r="L18" s="98">
        <f t="shared" si="5"/>
        <v>5.5286142958333357</v>
      </c>
      <c r="M18" s="74" t="s">
        <v>96</v>
      </c>
    </row>
    <row r="19" spans="1:16" ht="15" customHeight="1">
      <c r="A19" s="18">
        <v>714</v>
      </c>
      <c r="B19" s="19" t="s">
        <v>19</v>
      </c>
      <c r="C19" s="20">
        <f>+SUM(C20:C29)</f>
        <v>79251443.760000005</v>
      </c>
      <c r="D19" s="40">
        <f t="shared" si="2"/>
        <v>1.1574423539947758</v>
      </c>
      <c r="E19" s="20">
        <f>+SUM(E20:E29)</f>
        <v>75303600</v>
      </c>
      <c r="F19" s="40">
        <f t="shared" si="0"/>
        <v>1.1367782256238395</v>
      </c>
      <c r="G19" s="20">
        <f t="shared" si="3"/>
        <v>3947843.7600000054</v>
      </c>
      <c r="H19" s="93">
        <f t="shared" si="1"/>
        <v>5.2425697576211689</v>
      </c>
      <c r="I19" s="69">
        <f>+SUM(I20:I29)</f>
        <v>69690048.24000001</v>
      </c>
      <c r="J19" s="40">
        <f t="shared" si="4"/>
        <v>1.2022239357461866</v>
      </c>
      <c r="K19" s="20">
        <f t="shared" si="6"/>
        <v>9561395.5199999958</v>
      </c>
      <c r="L19" s="93">
        <f t="shared" si="5"/>
        <v>13.719886499536145</v>
      </c>
      <c r="M19" s="73" t="s">
        <v>97</v>
      </c>
      <c r="P19" s="86"/>
    </row>
    <row r="20" spans="1:16" ht="15" customHeight="1">
      <c r="A20" s="21">
        <v>7141</v>
      </c>
      <c r="B20" s="22" t="s">
        <v>20</v>
      </c>
      <c r="C20" s="23">
        <v>5193918.419999999</v>
      </c>
      <c r="D20" s="41">
        <f t="shared" si="2"/>
        <v>7.5855541265682863E-2</v>
      </c>
      <c r="E20" s="23">
        <v>6027900</v>
      </c>
      <c r="F20" s="41">
        <f t="shared" si="0"/>
        <v>9.0996784565916408E-2</v>
      </c>
      <c r="G20" s="23">
        <f t="shared" si="3"/>
        <v>-833981.58000000101</v>
      </c>
      <c r="H20" s="98">
        <f t="shared" si="1"/>
        <v>-13.83535858259097</v>
      </c>
      <c r="I20" s="23">
        <v>3616250.8499999992</v>
      </c>
      <c r="J20" s="41">
        <f t="shared" si="4"/>
        <v>6.2383990818320773E-2</v>
      </c>
      <c r="K20" s="23">
        <f t="shared" si="6"/>
        <v>1577667.5699999998</v>
      </c>
      <c r="L20" s="98">
        <f t="shared" si="5"/>
        <v>43.627160709827422</v>
      </c>
      <c r="M20" s="74" t="s">
        <v>98</v>
      </c>
      <c r="P20" s="80"/>
    </row>
    <row r="21" spans="1:16" ht="15" customHeight="1">
      <c r="A21" s="21">
        <v>7142</v>
      </c>
      <c r="B21" s="22" t="s">
        <v>21</v>
      </c>
      <c r="C21" s="23">
        <v>13494301.990000002</v>
      </c>
      <c r="D21" s="41">
        <f t="shared" si="2"/>
        <v>0.1970800268083594</v>
      </c>
      <c r="E21" s="23">
        <v>9966500</v>
      </c>
      <c r="F21" s="41">
        <f t="shared" si="0"/>
        <v>0.15045363283667706</v>
      </c>
      <c r="G21" s="23">
        <f t="shared" si="3"/>
        <v>3527801.9900000021</v>
      </c>
      <c r="H21" s="98">
        <f t="shared" si="1"/>
        <v>35.396598504991744</v>
      </c>
      <c r="I21" s="23">
        <v>8428574.4900000002</v>
      </c>
      <c r="J21" s="41">
        <f t="shared" si="4"/>
        <v>0.14540144901609711</v>
      </c>
      <c r="K21" s="23">
        <f t="shared" si="6"/>
        <v>5065727.5000000019</v>
      </c>
      <c r="L21" s="98">
        <f t="shared" si="5"/>
        <v>60.101829864708264</v>
      </c>
      <c r="M21" s="74" t="s">
        <v>99</v>
      </c>
    </row>
    <row r="22" spans="1:16" hidden="1">
      <c r="A22" s="21">
        <v>7143</v>
      </c>
      <c r="B22" s="22" t="s">
        <v>22</v>
      </c>
      <c r="C22" s="23"/>
      <c r="D22" s="41">
        <f t="shared" si="2"/>
        <v>0</v>
      </c>
      <c r="E22" s="23"/>
      <c r="F22" s="41">
        <f t="shared" si="0"/>
        <v>0</v>
      </c>
      <c r="G22" s="23">
        <f t="shared" si="3"/>
        <v>0</v>
      </c>
      <c r="H22" s="98">
        <f t="shared" si="1"/>
        <v>0</v>
      </c>
      <c r="I22" s="23"/>
      <c r="J22" s="41">
        <f t="shared" si="4"/>
        <v>0</v>
      </c>
      <c r="K22" s="23">
        <f t="shared" si="6"/>
        <v>0</v>
      </c>
      <c r="L22" s="98">
        <f t="shared" si="5"/>
        <v>0</v>
      </c>
      <c r="M22" s="74" t="s">
        <v>100</v>
      </c>
    </row>
    <row r="23" spans="1:16" hidden="1">
      <c r="A23" s="21">
        <v>7144</v>
      </c>
      <c r="B23" s="22" t="s">
        <v>23</v>
      </c>
      <c r="C23" s="23"/>
      <c r="D23" s="41">
        <f>+C23/$C$2*100</f>
        <v>0</v>
      </c>
      <c r="E23" s="23"/>
      <c r="F23" s="41">
        <f>+E23/$E$2*100</f>
        <v>0</v>
      </c>
      <c r="G23" s="23">
        <f>+C23-E23</f>
        <v>0</v>
      </c>
      <c r="H23" s="98">
        <f t="shared" si="1"/>
        <v>0</v>
      </c>
      <c r="I23" s="23"/>
      <c r="J23" s="41">
        <f>+I23/$I$2*100</f>
        <v>0</v>
      </c>
      <c r="K23" s="23">
        <f>+C23-I23</f>
        <v>0</v>
      </c>
      <c r="L23" s="98">
        <f t="shared" si="5"/>
        <v>0</v>
      </c>
      <c r="M23" s="74" t="s">
        <v>101</v>
      </c>
    </row>
    <row r="24" spans="1:16" ht="15.75" hidden="1" customHeight="1">
      <c r="A24" s="21"/>
      <c r="B24" s="22" t="s">
        <v>24</v>
      </c>
      <c r="C24" s="23"/>
      <c r="D24" s="41"/>
      <c r="E24" s="23"/>
      <c r="F24" s="41">
        <f>+E24/$E$2*100</f>
        <v>0</v>
      </c>
      <c r="G24" s="23"/>
      <c r="H24" s="98">
        <f t="shared" si="1"/>
        <v>0</v>
      </c>
      <c r="I24" s="23"/>
      <c r="J24" s="41">
        <f>+I24/$I$2*100</f>
        <v>0</v>
      </c>
      <c r="K24" s="23">
        <f>+C24-I24</f>
        <v>0</v>
      </c>
      <c r="L24" s="98">
        <f t="shared" si="5"/>
        <v>0</v>
      </c>
      <c r="M24" s="74"/>
    </row>
    <row r="25" spans="1:16" ht="17.25" hidden="1" customHeight="1">
      <c r="A25" s="21">
        <v>7145</v>
      </c>
      <c r="B25" s="22" t="s">
        <v>67</v>
      </c>
      <c r="C25" s="23"/>
      <c r="D25" s="41">
        <f t="shared" ref="D25:D29" si="14">+C25/$C$2*100</f>
        <v>0</v>
      </c>
      <c r="E25" s="23"/>
      <c r="F25" s="41">
        <f t="shared" ref="F25:F29" si="15">+E25/$E$2*100</f>
        <v>0</v>
      </c>
      <c r="G25" s="23">
        <f t="shared" ref="G25:G27" si="16">+C25-E25</f>
        <v>0</v>
      </c>
      <c r="H25" s="98">
        <f t="shared" si="1"/>
        <v>0</v>
      </c>
      <c r="I25" s="23"/>
      <c r="J25" s="41">
        <f t="shared" ref="J25:J27" si="17">+I25/$I$2*100</f>
        <v>0</v>
      </c>
      <c r="K25" s="23">
        <f t="shared" ref="K25:K27" si="18">+C25-I25</f>
        <v>0</v>
      </c>
      <c r="L25" s="98">
        <f t="shared" si="5"/>
        <v>0</v>
      </c>
      <c r="M25" s="74" t="s">
        <v>157</v>
      </c>
    </row>
    <row r="26" spans="1:16" ht="15" customHeight="1">
      <c r="A26" s="21">
        <v>7146</v>
      </c>
      <c r="B26" s="22" t="s">
        <v>184</v>
      </c>
      <c r="C26" s="23">
        <v>51116704.930000007</v>
      </c>
      <c r="D26" s="41">
        <f t="shared" si="14"/>
        <v>0.74654336218537509</v>
      </c>
      <c r="E26" s="23">
        <v>50400000</v>
      </c>
      <c r="F26" s="41">
        <f t="shared" si="15"/>
        <v>0.76083510710565649</v>
      </c>
      <c r="G26" s="23">
        <f t="shared" si="16"/>
        <v>716704.93000000715</v>
      </c>
      <c r="H26" s="98">
        <f t="shared" si="1"/>
        <v>1.4220335912698374</v>
      </c>
      <c r="I26" s="23">
        <v>49834447.780000001</v>
      </c>
      <c r="J26" s="41">
        <f t="shared" si="17"/>
        <v>0.85969471192619462</v>
      </c>
      <c r="K26" s="23">
        <f t="shared" si="18"/>
        <v>1282257.150000006</v>
      </c>
      <c r="L26" s="98">
        <f t="shared" si="5"/>
        <v>2.5730337289191709</v>
      </c>
      <c r="M26" s="74" t="s">
        <v>185</v>
      </c>
    </row>
    <row r="27" spans="1:16" ht="26.25" customHeight="1">
      <c r="A27" s="21">
        <v>7147</v>
      </c>
      <c r="B27" s="27" t="s">
        <v>68</v>
      </c>
      <c r="C27" s="23">
        <v>4428178.2700000005</v>
      </c>
      <c r="D27" s="41">
        <f t="shared" si="14"/>
        <v>6.4672147756180048E-2</v>
      </c>
      <c r="E27" s="23">
        <v>6115300</v>
      </c>
      <c r="F27" s="41">
        <f t="shared" si="15"/>
        <v>9.231616925561946E-2</v>
      </c>
      <c r="G27" s="23">
        <f t="shared" si="16"/>
        <v>-1687121.7299999995</v>
      </c>
      <c r="H27" s="98">
        <f t="shared" si="1"/>
        <v>-27.588535803640042</v>
      </c>
      <c r="I27" s="23">
        <v>3258272.64</v>
      </c>
      <c r="J27" s="41">
        <f t="shared" si="17"/>
        <v>5.6208504024920128E-2</v>
      </c>
      <c r="K27" s="23">
        <f t="shared" si="18"/>
        <v>1169905.6300000004</v>
      </c>
      <c r="L27" s="98">
        <f t="shared" si="5"/>
        <v>35.905700942202316</v>
      </c>
      <c r="M27" s="75" t="s">
        <v>158</v>
      </c>
    </row>
    <row r="28" spans="1:16" ht="15" hidden="1" customHeight="1">
      <c r="A28" s="21">
        <v>7148</v>
      </c>
      <c r="B28" s="22" t="s">
        <v>24</v>
      </c>
      <c r="C28" s="84"/>
      <c r="D28" s="41">
        <f t="shared" si="14"/>
        <v>0</v>
      </c>
      <c r="E28" s="78"/>
      <c r="F28" s="41">
        <f t="shared" si="15"/>
        <v>0</v>
      </c>
      <c r="G28" s="78">
        <f t="shared" si="3"/>
        <v>0</v>
      </c>
      <c r="H28" s="98">
        <f t="shared" si="1"/>
        <v>0</v>
      </c>
      <c r="I28" s="78"/>
      <c r="J28" s="41">
        <f t="shared" si="4"/>
        <v>0</v>
      </c>
      <c r="K28" s="78">
        <f t="shared" si="6"/>
        <v>0</v>
      </c>
      <c r="L28" s="98">
        <f t="shared" si="5"/>
        <v>0</v>
      </c>
      <c r="M28" s="74" t="s">
        <v>102</v>
      </c>
    </row>
    <row r="29" spans="1:16" ht="15" customHeight="1">
      <c r="A29" s="21">
        <v>7149</v>
      </c>
      <c r="B29" s="22" t="s">
        <v>25</v>
      </c>
      <c r="C29" s="84">
        <v>5018340.1499999994</v>
      </c>
      <c r="D29" s="41">
        <f t="shared" si="14"/>
        <v>7.329127597917838E-2</v>
      </c>
      <c r="E29" s="78">
        <v>2793900</v>
      </c>
      <c r="F29" s="41">
        <f t="shared" si="15"/>
        <v>4.2176531859970112E-2</v>
      </c>
      <c r="G29" s="78">
        <f t="shared" si="3"/>
        <v>2224440.1499999994</v>
      </c>
      <c r="H29" s="98">
        <f t="shared" si="1"/>
        <v>79.617744013744215</v>
      </c>
      <c r="I29" s="23">
        <v>4552502.4800000004</v>
      </c>
      <c r="J29" s="41">
        <f t="shared" si="4"/>
        <v>7.8535279960653903E-2</v>
      </c>
      <c r="K29" s="78">
        <f t="shared" si="6"/>
        <v>465837.66999999899</v>
      </c>
      <c r="L29" s="98">
        <f t="shared" si="5"/>
        <v>10.2325626849521</v>
      </c>
      <c r="M29" s="74" t="s">
        <v>103</v>
      </c>
    </row>
    <row r="30" spans="1:16" ht="15" customHeight="1">
      <c r="A30" s="18">
        <v>715</v>
      </c>
      <c r="B30" s="19" t="s">
        <v>26</v>
      </c>
      <c r="C30" s="20">
        <f>+SUM(C31:C34)</f>
        <v>16469268.350000001</v>
      </c>
      <c r="D30" s="40">
        <f t="shared" si="2"/>
        <v>0.24052847270924793</v>
      </c>
      <c r="E30" s="20">
        <f>+SUM(E31:E34)</f>
        <v>12530000</v>
      </c>
      <c r="F30" s="40">
        <f t="shared" si="0"/>
        <v>0.18915206134987847</v>
      </c>
      <c r="G30" s="20">
        <f t="shared" si="3"/>
        <v>3939268.3500000015</v>
      </c>
      <c r="H30" s="93">
        <f t="shared" si="1"/>
        <v>31.43869393455708</v>
      </c>
      <c r="I30" s="20">
        <f>+SUM(I31:I34)</f>
        <v>23102631.270000003</v>
      </c>
      <c r="J30" s="40">
        <f t="shared" si="4"/>
        <v>0.39854379488821434</v>
      </c>
      <c r="K30" s="20">
        <f t="shared" si="6"/>
        <v>-6633362.9200000018</v>
      </c>
      <c r="L30" s="93">
        <f t="shared" si="5"/>
        <v>-28.712586209233123</v>
      </c>
      <c r="M30" s="73" t="s">
        <v>104</v>
      </c>
    </row>
    <row r="31" spans="1:16" ht="15" customHeight="1">
      <c r="A31" s="21">
        <v>7151</v>
      </c>
      <c r="B31" s="22" t="s">
        <v>27</v>
      </c>
      <c r="C31" s="84">
        <v>1902705.97</v>
      </c>
      <c r="D31" s="41">
        <f t="shared" si="2"/>
        <v>2.7788420909351935E-2</v>
      </c>
      <c r="E31" s="78">
        <v>630000</v>
      </c>
      <c r="F31" s="41">
        <f t="shared" si="0"/>
        <v>9.5104388388207051E-3</v>
      </c>
      <c r="G31" s="78">
        <f t="shared" si="3"/>
        <v>1272705.97</v>
      </c>
      <c r="H31" s="98">
        <f t="shared" si="1"/>
        <v>202.01682063492063</v>
      </c>
      <c r="I31" s="78">
        <v>1414729.8800000001</v>
      </c>
      <c r="J31" s="41">
        <f t="shared" si="4"/>
        <v>2.4405523705393409E-2</v>
      </c>
      <c r="K31" s="78">
        <f t="shared" si="6"/>
        <v>487976.08999999985</v>
      </c>
      <c r="L31" s="98">
        <f t="shared" si="5"/>
        <v>34.492527294327004</v>
      </c>
      <c r="M31" s="74" t="s">
        <v>105</v>
      </c>
    </row>
    <row r="32" spans="1:16" ht="15" customHeight="1">
      <c r="A32" s="21">
        <v>7152</v>
      </c>
      <c r="B32" s="22" t="s">
        <v>28</v>
      </c>
      <c r="C32" s="84">
        <v>3166105.33</v>
      </c>
      <c r="D32" s="41">
        <f t="shared" si="2"/>
        <v>4.623997030575492E-2</v>
      </c>
      <c r="E32" s="78">
        <v>2100000</v>
      </c>
      <c r="F32" s="41">
        <f t="shared" si="0"/>
        <v>3.1701462796069016E-2</v>
      </c>
      <c r="G32" s="78">
        <f t="shared" si="3"/>
        <v>1066105.33</v>
      </c>
      <c r="H32" s="98">
        <f t="shared" si="1"/>
        <v>50.766920476190478</v>
      </c>
      <c r="I32" s="78">
        <v>2661725.02</v>
      </c>
      <c r="J32" s="41">
        <f t="shared" si="4"/>
        <v>4.5917453212233519E-2</v>
      </c>
      <c r="K32" s="78">
        <f t="shared" si="6"/>
        <v>504380.31000000006</v>
      </c>
      <c r="L32" s="98">
        <f t="shared" si="5"/>
        <v>18.94937704722031</v>
      </c>
      <c r="M32" s="74" t="s">
        <v>106</v>
      </c>
      <c r="P32" s="80"/>
    </row>
    <row r="33" spans="1:16384">
      <c r="A33" s="21">
        <v>7153</v>
      </c>
      <c r="B33" s="22" t="s">
        <v>29</v>
      </c>
      <c r="C33" s="84">
        <v>3579468.44</v>
      </c>
      <c r="D33" s="41">
        <f t="shared" si="2"/>
        <v>5.2277008224482183E-2</v>
      </c>
      <c r="E33" s="78">
        <v>3200000</v>
      </c>
      <c r="F33" s="41">
        <f t="shared" si="0"/>
        <v>4.8306990927343266E-2</v>
      </c>
      <c r="G33" s="78">
        <f t="shared" si="3"/>
        <v>379468.43999999994</v>
      </c>
      <c r="H33" s="98">
        <f t="shared" si="1"/>
        <v>11.858388750000003</v>
      </c>
      <c r="I33" s="78">
        <v>3216398.07</v>
      </c>
      <c r="J33" s="41">
        <f t="shared" si="4"/>
        <v>5.5486125268921722E-2</v>
      </c>
      <c r="K33" s="78">
        <f t="shared" si="6"/>
        <v>363070.37000000011</v>
      </c>
      <c r="L33" s="98">
        <f t="shared" si="5"/>
        <v>11.288104335916358</v>
      </c>
      <c r="M33" s="74" t="s">
        <v>107</v>
      </c>
    </row>
    <row r="34" spans="1:16384" s="3" customFormat="1" ht="15" customHeight="1">
      <c r="A34" s="21">
        <v>7155</v>
      </c>
      <c r="B34" s="22" t="s">
        <v>26</v>
      </c>
      <c r="C34" s="84">
        <v>7820988.6100000013</v>
      </c>
      <c r="D34" s="41">
        <f t="shared" si="2"/>
        <v>0.11422307326965887</v>
      </c>
      <c r="E34" s="78">
        <v>6600000</v>
      </c>
      <c r="F34" s="41">
        <f t="shared" si="0"/>
        <v>9.9633168787645485E-2</v>
      </c>
      <c r="G34" s="78">
        <f t="shared" si="3"/>
        <v>1220988.6100000013</v>
      </c>
      <c r="H34" s="98">
        <f t="shared" si="1"/>
        <v>18.499827424242454</v>
      </c>
      <c r="I34" s="78">
        <v>15809778.300000001</v>
      </c>
      <c r="J34" s="41">
        <f t="shared" si="4"/>
        <v>0.27273469270166562</v>
      </c>
      <c r="K34" s="78">
        <f t="shared" si="6"/>
        <v>-7988789.6899999995</v>
      </c>
      <c r="L34" s="98">
        <f t="shared" si="5"/>
        <v>-50.530687644114522</v>
      </c>
      <c r="M34" s="74" t="s">
        <v>104</v>
      </c>
      <c r="N34" s="1"/>
      <c r="O34" s="1"/>
      <c r="P34" s="1"/>
      <c r="Q34" s="1"/>
      <c r="R34" s="1"/>
    </row>
    <row r="35" spans="1:16384" ht="15" customHeight="1">
      <c r="A35" s="18">
        <v>73</v>
      </c>
      <c r="B35" s="106" t="s">
        <v>188</v>
      </c>
      <c r="C35" s="20">
        <v>0</v>
      </c>
      <c r="D35" s="40">
        <f t="shared" si="2"/>
        <v>0</v>
      </c>
      <c r="E35" s="20">
        <v>0</v>
      </c>
      <c r="F35" s="40">
        <f t="shared" si="0"/>
        <v>0</v>
      </c>
      <c r="G35" s="20">
        <f t="shared" si="3"/>
        <v>0</v>
      </c>
      <c r="H35" s="93">
        <f>IFERROR(C35/E35*100-100,0)</f>
        <v>0</v>
      </c>
      <c r="I35" s="20">
        <v>0</v>
      </c>
      <c r="J35" s="40">
        <f t="shared" si="4"/>
        <v>0</v>
      </c>
      <c r="K35" s="20">
        <f t="shared" si="6"/>
        <v>0</v>
      </c>
      <c r="L35" s="93">
        <f t="shared" si="5"/>
        <v>0</v>
      </c>
      <c r="M35" s="73" t="s">
        <v>108</v>
      </c>
    </row>
    <row r="36" spans="1:16384" ht="15" customHeight="1">
      <c r="A36" s="18">
        <v>74</v>
      </c>
      <c r="B36" s="19" t="s">
        <v>183</v>
      </c>
      <c r="C36" s="20">
        <v>51325214.18</v>
      </c>
      <c r="D36" s="40">
        <f t="shared" si="2"/>
        <v>0.74958857405407653</v>
      </c>
      <c r="E36" s="20">
        <v>52500000</v>
      </c>
      <c r="F36" s="40">
        <f t="shared" si="0"/>
        <v>0.79253656990172539</v>
      </c>
      <c r="G36" s="20">
        <f t="shared" si="3"/>
        <v>-1174785.8200000003</v>
      </c>
      <c r="H36" s="93">
        <f t="shared" ref="H36:H73" si="19">IFERROR(C36/E36*100-100,0)</f>
        <v>-2.2376872761904849</v>
      </c>
      <c r="I36" s="20">
        <v>53041670.649999999</v>
      </c>
      <c r="J36" s="40">
        <f t="shared" si="4"/>
        <v>0.91502255569963986</v>
      </c>
      <c r="K36" s="20">
        <f t="shared" si="6"/>
        <v>-1716456.4699999988</v>
      </c>
      <c r="L36" s="93">
        <f t="shared" si="5"/>
        <v>-3.2360528033254923</v>
      </c>
      <c r="M36" s="73" t="s">
        <v>109</v>
      </c>
    </row>
    <row r="37" spans="1:16384" s="34" customFormat="1" ht="15" customHeight="1">
      <c r="A37" s="31"/>
      <c r="B37" s="32" t="s">
        <v>72</v>
      </c>
      <c r="C37" s="33">
        <f>+C38+C48+C49++C50+C51+C52+C53+C54</f>
        <v>343957625.10999995</v>
      </c>
      <c r="D37" s="43">
        <f t="shared" si="2"/>
        <v>5.0233926903260606</v>
      </c>
      <c r="E37" s="33">
        <f>+E38+E48+E49++E50+E51+E52+E53+E54</f>
        <v>324480000</v>
      </c>
      <c r="F37" s="43">
        <f t="shared" si="0"/>
        <v>4.898328880032607</v>
      </c>
      <c r="G37" s="33">
        <f t="shared" si="3"/>
        <v>19477625.109999955</v>
      </c>
      <c r="H37" s="103">
        <f t="shared" si="19"/>
        <v>6.0027197700936767</v>
      </c>
      <c r="I37" s="33">
        <f>+I38+I48+I49++I50+I51+I52+I53+I54</f>
        <v>328240492.31129992</v>
      </c>
      <c r="J37" s="43">
        <f t="shared" si="4"/>
        <v>5.6624810357249489</v>
      </c>
      <c r="K37" s="33">
        <f t="shared" si="6"/>
        <v>15717132.798700035</v>
      </c>
      <c r="L37" s="103">
        <f t="shared" si="5"/>
        <v>4.7882979604460445</v>
      </c>
      <c r="M37" s="72" t="s">
        <v>110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69</v>
      </c>
      <c r="C38" s="69">
        <f>SUM(C39:C47)</f>
        <v>123352340.55999997</v>
      </c>
      <c r="D38" s="40">
        <f t="shared" si="2"/>
        <v>1.8015220500070244</v>
      </c>
      <c r="E38" s="69">
        <f>SUM(E39:E47)</f>
        <v>113080000</v>
      </c>
      <c r="F38" s="40">
        <f t="shared" si="0"/>
        <v>1.7070482918949927</v>
      </c>
      <c r="G38" s="20">
        <f t="shared" si="3"/>
        <v>10272340.559999973</v>
      </c>
      <c r="H38" s="93">
        <f t="shared" si="19"/>
        <v>9.0841356207994153</v>
      </c>
      <c r="I38" s="69">
        <f>SUM(I39:I47)</f>
        <v>103524048.4307</v>
      </c>
      <c r="J38" s="40">
        <f t="shared" si="4"/>
        <v>1.785894716561542</v>
      </c>
      <c r="K38" s="20">
        <f t="shared" si="6"/>
        <v>19828292.129299968</v>
      </c>
      <c r="L38" s="93">
        <f t="shared" si="5"/>
        <v>19.153319861300844</v>
      </c>
      <c r="M38" s="73" t="s">
        <v>111</v>
      </c>
    </row>
    <row r="39" spans="1:16384" ht="15" customHeight="1">
      <c r="A39" s="21">
        <v>411</v>
      </c>
      <c r="B39" s="22" t="s">
        <v>30</v>
      </c>
      <c r="C39" s="23">
        <v>72111288.929999992</v>
      </c>
      <c r="D39" s="41">
        <f t="shared" si="2"/>
        <v>1.0531626434654697</v>
      </c>
      <c r="E39" s="23">
        <v>69460000</v>
      </c>
      <c r="F39" s="41">
        <f t="shared" si="0"/>
        <v>1.0485636218166448</v>
      </c>
      <c r="G39" s="23">
        <f t="shared" si="3"/>
        <v>2651288.9299999923</v>
      </c>
      <c r="H39" s="98">
        <f t="shared" si="19"/>
        <v>3.8170010509645635</v>
      </c>
      <c r="I39" s="23">
        <v>57189987.060699999</v>
      </c>
      <c r="J39" s="41">
        <f t="shared" si="4"/>
        <v>0.98658521648037589</v>
      </c>
      <c r="K39" s="23">
        <f t="shared" si="6"/>
        <v>14921301.869299993</v>
      </c>
      <c r="L39" s="98">
        <f t="shared" si="5"/>
        <v>26.090759302783013</v>
      </c>
      <c r="M39" s="74" t="s">
        <v>112</v>
      </c>
    </row>
    <row r="40" spans="1:16384" ht="15" customHeight="1">
      <c r="A40" s="21">
        <v>412</v>
      </c>
      <c r="B40" s="22" t="s">
        <v>31</v>
      </c>
      <c r="C40" s="23">
        <v>5367632.13</v>
      </c>
      <c r="D40" s="41">
        <f t="shared" si="2"/>
        <v>7.8392575241145249E-2</v>
      </c>
      <c r="E40" s="23">
        <v>4900000</v>
      </c>
      <c r="F40" s="41">
        <f t="shared" si="0"/>
        <v>7.3970079857494375E-2</v>
      </c>
      <c r="G40" s="23">
        <f t="shared" si="3"/>
        <v>467632.12999999989</v>
      </c>
      <c r="H40" s="98">
        <f t="shared" si="19"/>
        <v>9.5435128571428578</v>
      </c>
      <c r="I40" s="23">
        <v>4112387.61</v>
      </c>
      <c r="J40" s="41">
        <f t="shared" si="4"/>
        <v>7.0942852568874226E-2</v>
      </c>
      <c r="K40" s="23">
        <f t="shared" si="6"/>
        <v>1255244.52</v>
      </c>
      <c r="L40" s="98">
        <f t="shared" si="5"/>
        <v>30.523497273157091</v>
      </c>
      <c r="M40" s="74" t="s">
        <v>113</v>
      </c>
    </row>
    <row r="41" spans="1:16384" ht="15" customHeight="1">
      <c r="A41" s="21">
        <v>413</v>
      </c>
      <c r="B41" s="22" t="s">
        <v>73</v>
      </c>
      <c r="C41" s="23">
        <v>9352562.0200000014</v>
      </c>
      <c r="D41" s="41">
        <f t="shared" si="2"/>
        <v>0.13659122013086383</v>
      </c>
      <c r="E41" s="23">
        <v>8645000</v>
      </c>
      <c r="F41" s="41">
        <f t="shared" si="0"/>
        <v>0.13050435517715078</v>
      </c>
      <c r="G41" s="23">
        <f t="shared" si="3"/>
        <v>707562.02000000142</v>
      </c>
      <c r="H41" s="98">
        <f t="shared" si="19"/>
        <v>8.1846387507229679</v>
      </c>
      <c r="I41" s="23">
        <v>9410589.8399999999</v>
      </c>
      <c r="J41" s="41">
        <f t="shared" si="4"/>
        <v>0.16234220869206095</v>
      </c>
      <c r="K41" s="23">
        <f t="shared" si="6"/>
        <v>-58027.819999998435</v>
      </c>
      <c r="L41" s="98">
        <f t="shared" si="5"/>
        <v>-0.61662256018585992</v>
      </c>
      <c r="M41" s="74" t="s">
        <v>114</v>
      </c>
    </row>
    <row r="42" spans="1:16384" ht="15" customHeight="1">
      <c r="A42" s="21">
        <v>414</v>
      </c>
      <c r="B42" s="22" t="s">
        <v>74</v>
      </c>
      <c r="C42" s="23">
        <v>11385079.27</v>
      </c>
      <c r="D42" s="41">
        <f t="shared" si="2"/>
        <v>0.16627549386471796</v>
      </c>
      <c r="E42" s="23">
        <v>10645000</v>
      </c>
      <c r="F42" s="41">
        <f t="shared" si="0"/>
        <v>0.16069622450674034</v>
      </c>
      <c r="G42" s="23">
        <f t="shared" si="3"/>
        <v>740079.26999999955</v>
      </c>
      <c r="H42" s="98">
        <f t="shared" si="19"/>
        <v>6.9523651479567832</v>
      </c>
      <c r="I42" s="23">
        <v>10042060.890000001</v>
      </c>
      <c r="J42" s="41">
        <f t="shared" si="4"/>
        <v>0.17323572405348436</v>
      </c>
      <c r="K42" s="23">
        <f t="shared" si="6"/>
        <v>1343018.379999999</v>
      </c>
      <c r="L42" s="98">
        <f t="shared" si="5"/>
        <v>13.373931852349074</v>
      </c>
      <c r="M42" s="74" t="s">
        <v>115</v>
      </c>
    </row>
    <row r="43" spans="1:16384" ht="15.75" customHeight="1">
      <c r="A43" s="21">
        <v>415</v>
      </c>
      <c r="B43" s="22" t="s">
        <v>32</v>
      </c>
      <c r="C43" s="23">
        <v>6240319.580000001</v>
      </c>
      <c r="D43" s="41">
        <f t="shared" si="2"/>
        <v>9.1137900354572546E-2</v>
      </c>
      <c r="E43" s="23">
        <v>6500000</v>
      </c>
      <c r="F43" s="41">
        <f t="shared" si="0"/>
        <v>9.8123575321166015E-2</v>
      </c>
      <c r="G43" s="23">
        <f t="shared" si="3"/>
        <v>-259680.41999999899</v>
      </c>
      <c r="H43" s="98">
        <f t="shared" si="19"/>
        <v>-3.9950833846153699</v>
      </c>
      <c r="I43" s="23">
        <v>7075989.0499999998</v>
      </c>
      <c r="J43" s="41">
        <f t="shared" si="4"/>
        <v>0.12206797985978722</v>
      </c>
      <c r="K43" s="23">
        <f t="shared" si="6"/>
        <v>-835669.46999999881</v>
      </c>
      <c r="L43" s="98">
        <f t="shared" si="5"/>
        <v>-11.809931644820722</v>
      </c>
      <c r="M43" s="74" t="s">
        <v>116</v>
      </c>
    </row>
    <row r="44" spans="1:16384" ht="15" customHeight="1">
      <c r="A44" s="21">
        <v>416</v>
      </c>
      <c r="B44" s="22" t="s">
        <v>33</v>
      </c>
      <c r="C44" s="23">
        <v>3136153.8600000003</v>
      </c>
      <c r="D44" s="41">
        <f t="shared" si="2"/>
        <v>4.5802538527888674E-2</v>
      </c>
      <c r="E44" s="23">
        <v>2000000</v>
      </c>
      <c r="F44" s="41">
        <f t="shared" si="0"/>
        <v>3.0191869329589539E-2</v>
      </c>
      <c r="G44" s="23">
        <f t="shared" si="3"/>
        <v>1136153.8600000003</v>
      </c>
      <c r="H44" s="98">
        <f t="shared" si="19"/>
        <v>56.807693000000029</v>
      </c>
      <c r="I44" s="23">
        <v>2166490.12</v>
      </c>
      <c r="J44" s="41">
        <f t="shared" si="4"/>
        <v>3.7374149460362438E-2</v>
      </c>
      <c r="K44" s="23">
        <f t="shared" si="6"/>
        <v>969663.74000000022</v>
      </c>
      <c r="L44" s="98">
        <f t="shared" si="5"/>
        <v>44.757358044171468</v>
      </c>
      <c r="M44" s="74" t="s">
        <v>117</v>
      </c>
    </row>
    <row r="45" spans="1:16384" ht="15" customHeight="1">
      <c r="A45" s="21">
        <v>417</v>
      </c>
      <c r="B45" s="22" t="s">
        <v>34</v>
      </c>
      <c r="C45" s="23">
        <v>714646.56</v>
      </c>
      <c r="D45" s="41">
        <f t="shared" si="2"/>
        <v>1.0437187733583677E-2</v>
      </c>
      <c r="E45" s="23">
        <v>630000</v>
      </c>
      <c r="F45" s="41">
        <f t="shared" si="0"/>
        <v>9.5104388388207051E-3</v>
      </c>
      <c r="G45" s="23">
        <f t="shared" si="3"/>
        <v>84646.560000000056</v>
      </c>
      <c r="H45" s="98">
        <f t="shared" si="19"/>
        <v>13.435961904761911</v>
      </c>
      <c r="I45" s="23">
        <v>685503.41</v>
      </c>
      <c r="J45" s="41">
        <f t="shared" si="4"/>
        <v>1.1825628312086698E-2</v>
      </c>
      <c r="K45" s="23">
        <f t="shared" si="6"/>
        <v>29143.150000000023</v>
      </c>
      <c r="L45" s="98">
        <f t="shared" si="5"/>
        <v>4.2513501136340039</v>
      </c>
      <c r="M45" s="74" t="s">
        <v>118</v>
      </c>
    </row>
    <row r="46" spans="1:16384" ht="15" customHeight="1">
      <c r="A46" s="21">
        <v>418</v>
      </c>
      <c r="B46" s="22" t="s">
        <v>35</v>
      </c>
      <c r="C46" s="23">
        <v>4633284.5</v>
      </c>
      <c r="D46" s="41">
        <f t="shared" si="2"/>
        <v>6.7667659590502166E-2</v>
      </c>
      <c r="E46" s="23">
        <v>3000000</v>
      </c>
      <c r="F46" s="41">
        <f t="shared" si="0"/>
        <v>4.5287803994384312E-2</v>
      </c>
      <c r="G46" s="23">
        <f t="shared" si="3"/>
        <v>1633284.5</v>
      </c>
      <c r="H46" s="98">
        <f t="shared" si="19"/>
        <v>54.442816666666658</v>
      </c>
      <c r="I46" s="23">
        <v>4500578</v>
      </c>
      <c r="J46" s="41">
        <f t="shared" si="4"/>
        <v>7.7639530075502505E-2</v>
      </c>
      <c r="K46" s="23">
        <f t="shared" si="6"/>
        <v>132706.5</v>
      </c>
      <c r="L46" s="98">
        <f t="shared" si="5"/>
        <v>2.9486545950320249</v>
      </c>
      <c r="M46" s="74" t="s">
        <v>119</v>
      </c>
    </row>
    <row r="47" spans="1:16384" ht="15" customHeight="1">
      <c r="A47" s="21">
        <v>419</v>
      </c>
      <c r="B47" s="22" t="s">
        <v>36</v>
      </c>
      <c r="C47" s="23">
        <v>10411373.709999999</v>
      </c>
      <c r="D47" s="41">
        <f t="shared" si="2"/>
        <v>0.15205483109828105</v>
      </c>
      <c r="E47" s="23">
        <v>7300000</v>
      </c>
      <c r="F47" s="41">
        <f t="shared" si="0"/>
        <v>0.11020032305300183</v>
      </c>
      <c r="G47" s="23">
        <f t="shared" si="3"/>
        <v>3111373.709999999</v>
      </c>
      <c r="H47" s="98">
        <f t="shared" si="19"/>
        <v>42.621557671232864</v>
      </c>
      <c r="I47" s="23">
        <v>8340462.4499999983</v>
      </c>
      <c r="J47" s="41">
        <f t="shared" si="4"/>
        <v>0.14388142705900758</v>
      </c>
      <c r="K47" s="23">
        <f t="shared" si="6"/>
        <v>2070911.2600000007</v>
      </c>
      <c r="L47" s="98">
        <f t="shared" si="5"/>
        <v>24.829693466217819</v>
      </c>
      <c r="M47" s="74" t="s">
        <v>120</v>
      </c>
    </row>
    <row r="48" spans="1:16384" ht="15" customHeight="1">
      <c r="A48" s="18">
        <v>42</v>
      </c>
      <c r="B48" s="19" t="s">
        <v>37</v>
      </c>
      <c r="C48" s="20">
        <v>719574.53</v>
      </c>
      <c r="D48" s="40">
        <f t="shared" si="2"/>
        <v>1.0509159182009132E-2</v>
      </c>
      <c r="E48" s="20">
        <v>400000</v>
      </c>
      <c r="F48" s="40">
        <f t="shared" si="0"/>
        <v>6.0383738659179082E-3</v>
      </c>
      <c r="G48" s="20">
        <f t="shared" si="3"/>
        <v>319574.53000000003</v>
      </c>
      <c r="H48" s="93">
        <f t="shared" si="19"/>
        <v>79.893632500000024</v>
      </c>
      <c r="I48" s="20">
        <v>468946.53000000009</v>
      </c>
      <c r="J48" s="40">
        <f t="shared" si="4"/>
        <v>8.0898027363902041E-3</v>
      </c>
      <c r="K48" s="20">
        <f t="shared" si="6"/>
        <v>250627.99999999994</v>
      </c>
      <c r="L48" s="93">
        <f t="shared" si="5"/>
        <v>53.444899144471748</v>
      </c>
      <c r="M48" s="73" t="s">
        <v>121</v>
      </c>
    </row>
    <row r="49" spans="1:16384" ht="15" customHeight="1">
      <c r="A49" s="18">
        <v>43</v>
      </c>
      <c r="B49" s="19" t="s">
        <v>173</v>
      </c>
      <c r="C49" s="20">
        <v>88045095.189999998</v>
      </c>
      <c r="D49" s="40">
        <f t="shared" si="2"/>
        <v>1.2858708611418701</v>
      </c>
      <c r="E49" s="20">
        <v>86500000</v>
      </c>
      <c r="F49" s="40">
        <f t="shared" si="0"/>
        <v>1.3057983485047477</v>
      </c>
      <c r="G49" s="20">
        <f t="shared" si="3"/>
        <v>1545095.1899999976</v>
      </c>
      <c r="H49" s="93">
        <f t="shared" si="19"/>
        <v>1.7862372138728375</v>
      </c>
      <c r="I49" s="20">
        <v>73942807.48999998</v>
      </c>
      <c r="J49" s="40">
        <f t="shared" si="4"/>
        <v>1.2755883413168143</v>
      </c>
      <c r="K49" s="20">
        <f t="shared" si="6"/>
        <v>14102287.700000018</v>
      </c>
      <c r="L49" s="93">
        <f t="shared" si="5"/>
        <v>19.071885662317072</v>
      </c>
      <c r="M49" s="73" t="s">
        <v>127</v>
      </c>
    </row>
    <row r="50" spans="1:16384" ht="15" customHeight="1">
      <c r="A50" s="18">
        <v>44</v>
      </c>
      <c r="B50" s="19" t="s">
        <v>65</v>
      </c>
      <c r="C50" s="20">
        <v>98243036.560000002</v>
      </c>
      <c r="D50" s="40">
        <f t="shared" si="2"/>
        <v>1.4348085801938859</v>
      </c>
      <c r="E50" s="20">
        <v>89000000</v>
      </c>
      <c r="F50" s="40">
        <f t="shared" si="0"/>
        <v>1.3435381851667345</v>
      </c>
      <c r="G50" s="20">
        <f t="shared" si="3"/>
        <v>9243036.5600000024</v>
      </c>
      <c r="H50" s="93">
        <f t="shared" si="19"/>
        <v>10.385434337078664</v>
      </c>
      <c r="I50" s="20">
        <v>112390693.65999998</v>
      </c>
      <c r="J50" s="40">
        <f t="shared" si="4"/>
        <v>1.9388533296439165</v>
      </c>
      <c r="K50" s="20">
        <f t="shared" si="6"/>
        <v>-14147657.099999979</v>
      </c>
      <c r="L50" s="93">
        <f t="shared" si="5"/>
        <v>-12.587925778622676</v>
      </c>
      <c r="M50" s="73" t="s">
        <v>128</v>
      </c>
    </row>
    <row r="51" spans="1:16384" ht="15" customHeight="1">
      <c r="A51" s="18">
        <v>45</v>
      </c>
      <c r="B51" s="19" t="s">
        <v>44</v>
      </c>
      <c r="C51" s="20">
        <v>0</v>
      </c>
      <c r="D51" s="40">
        <f t="shared" si="2"/>
        <v>0</v>
      </c>
      <c r="E51" s="20">
        <v>3000000</v>
      </c>
      <c r="F51" s="40">
        <f t="shared" si="0"/>
        <v>4.5287803994384312E-2</v>
      </c>
      <c r="G51" s="20">
        <f t="shared" si="3"/>
        <v>-3000000</v>
      </c>
      <c r="H51" s="93">
        <f t="shared" si="19"/>
        <v>-100</v>
      </c>
      <c r="I51" s="20">
        <v>2829336.03</v>
      </c>
      <c r="J51" s="40">
        <f t="shared" si="4"/>
        <v>4.8808912942934851E-2</v>
      </c>
      <c r="K51" s="20">
        <f t="shared" si="6"/>
        <v>-2829336.03</v>
      </c>
      <c r="L51" s="93">
        <f t="shared" si="5"/>
        <v>-100</v>
      </c>
      <c r="M51" s="73" t="s">
        <v>129</v>
      </c>
    </row>
    <row r="52" spans="1:16384" ht="15" customHeight="1">
      <c r="A52" s="18">
        <v>462</v>
      </c>
      <c r="B52" s="19" t="s">
        <v>45</v>
      </c>
      <c r="C52" s="20">
        <v>0</v>
      </c>
      <c r="D52" s="40">
        <f t="shared" si="2"/>
        <v>0</v>
      </c>
      <c r="E52" s="20">
        <v>0</v>
      </c>
      <c r="F52" s="40">
        <f t="shared" si="0"/>
        <v>0</v>
      </c>
      <c r="G52" s="20">
        <f t="shared" si="3"/>
        <v>0</v>
      </c>
      <c r="H52" s="93">
        <f t="shared" si="19"/>
        <v>0</v>
      </c>
      <c r="I52" s="20">
        <v>0</v>
      </c>
      <c r="J52" s="40">
        <f t="shared" si="4"/>
        <v>0</v>
      </c>
      <c r="K52" s="20">
        <f t="shared" si="6"/>
        <v>0</v>
      </c>
      <c r="L52" s="93">
        <f t="shared" si="5"/>
        <v>0</v>
      </c>
      <c r="M52" s="73" t="s">
        <v>130</v>
      </c>
    </row>
    <row r="53" spans="1:16384" ht="15" customHeight="1">
      <c r="A53" s="18">
        <v>463</v>
      </c>
      <c r="B53" s="19" t="s">
        <v>46</v>
      </c>
      <c r="C53" s="20">
        <v>30785195.329999998</v>
      </c>
      <c r="D53" s="40">
        <f>+C53/$C$2*100</f>
        <v>0.44960807349895238</v>
      </c>
      <c r="E53" s="20">
        <v>30000000</v>
      </c>
      <c r="F53" s="40">
        <f>+E53/$E$2*100</f>
        <v>0.45287803994384318</v>
      </c>
      <c r="G53" s="20">
        <f>+C53-E53</f>
        <v>785195.32999999821</v>
      </c>
      <c r="H53" s="93">
        <f t="shared" si="19"/>
        <v>2.6173177666666732</v>
      </c>
      <c r="I53" s="20">
        <v>31781335.560600005</v>
      </c>
      <c r="J53" s="40">
        <v>0</v>
      </c>
      <c r="K53" s="20">
        <f>+C53-I53</f>
        <v>-996140.23060000688</v>
      </c>
      <c r="L53" s="93">
        <f t="shared" si="5"/>
        <v>-3.1343561025010729</v>
      </c>
      <c r="M53" s="73" t="s">
        <v>131</v>
      </c>
    </row>
    <row r="54" spans="1:16384" ht="15" customHeight="1">
      <c r="A54" s="18">
        <v>47</v>
      </c>
      <c r="B54" s="19" t="s">
        <v>47</v>
      </c>
      <c r="C54" s="20">
        <v>2812382.9399999995</v>
      </c>
      <c r="D54" s="40">
        <f t="shared" si="2"/>
        <v>4.1073966302318722E-2</v>
      </c>
      <c r="E54" s="20">
        <v>2500000</v>
      </c>
      <c r="F54" s="40">
        <f t="shared" si="0"/>
        <v>3.7739836661986929E-2</v>
      </c>
      <c r="G54" s="20">
        <f t="shared" si="3"/>
        <v>312382.93999999948</v>
      </c>
      <c r="H54" s="93">
        <f t="shared" si="19"/>
        <v>12.495317599999979</v>
      </c>
      <c r="I54" s="20">
        <v>3303324.6100000003</v>
      </c>
      <c r="J54" s="40">
        <f t="shared" si="4"/>
        <v>5.6985696149970656E-2</v>
      </c>
      <c r="K54" s="20">
        <f t="shared" si="6"/>
        <v>-490941.67000000086</v>
      </c>
      <c r="L54" s="93">
        <f t="shared" si="5"/>
        <v>-14.862047420765009</v>
      </c>
      <c r="M54" s="73" t="s">
        <v>132</v>
      </c>
    </row>
    <row r="55" spans="1:16384" s="34" customFormat="1" ht="15" customHeight="1">
      <c r="A55" s="31"/>
      <c r="B55" s="32" t="s">
        <v>77</v>
      </c>
      <c r="C55" s="33">
        <f>+C6-C37</f>
        <v>30948913.360000074</v>
      </c>
      <c r="D55" s="43">
        <f t="shared" si="2"/>
        <v>0.4519991237189146</v>
      </c>
      <c r="E55" s="33">
        <f>+E6-E37</f>
        <v>30022100</v>
      </c>
      <c r="F55" s="43">
        <f t="shared" si="0"/>
        <v>0.45321166009993513</v>
      </c>
      <c r="G55" s="33">
        <f t="shared" si="3"/>
        <v>926813.36000007391</v>
      </c>
      <c r="H55" s="103">
        <f t="shared" si="19"/>
        <v>3.0871037002743833</v>
      </c>
      <c r="I55" s="33">
        <f>+I6-I37</f>
        <v>-1355524.3712999225</v>
      </c>
      <c r="J55" s="43">
        <f t="shared" si="4"/>
        <v>-2.3384168698690914E-2</v>
      </c>
      <c r="K55" s="33">
        <f t="shared" si="6"/>
        <v>32304437.731299996</v>
      </c>
      <c r="L55" s="103">
        <f t="shared" si="5"/>
        <v>-2383.1690831438646</v>
      </c>
      <c r="M55" s="72" t="s">
        <v>134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182</v>
      </c>
      <c r="C56" s="20">
        <v>0</v>
      </c>
      <c r="D56" s="40">
        <f>+C56/$C$2*100</f>
        <v>0</v>
      </c>
      <c r="E56" s="20">
        <v>0</v>
      </c>
      <c r="F56" s="40">
        <f>+E56/$E$2*100</f>
        <v>0</v>
      </c>
      <c r="G56" s="20">
        <f>+C56-E56</f>
        <v>0</v>
      </c>
      <c r="H56" s="93">
        <f t="shared" si="19"/>
        <v>0</v>
      </c>
      <c r="I56" s="20">
        <v>0</v>
      </c>
      <c r="J56" s="40">
        <f t="shared" si="4"/>
        <v>0</v>
      </c>
      <c r="K56" s="20">
        <f>+C56-I56</f>
        <v>0</v>
      </c>
      <c r="L56" s="93">
        <f t="shared" si="5"/>
        <v>0</v>
      </c>
      <c r="M56" s="73" t="s">
        <v>133</v>
      </c>
    </row>
    <row r="57" spans="1:16384" s="34" customFormat="1" ht="15" customHeight="1">
      <c r="A57" s="31"/>
      <c r="B57" s="32" t="s">
        <v>59</v>
      </c>
      <c r="C57" s="33">
        <f>+C55-C56</f>
        <v>30948913.360000074</v>
      </c>
      <c r="D57" s="43">
        <f t="shared" si="2"/>
        <v>0.4519991237189146</v>
      </c>
      <c r="E57" s="33">
        <f>+E55-E56</f>
        <v>30022100</v>
      </c>
      <c r="F57" s="43">
        <f t="shared" si="0"/>
        <v>0.45321166009993513</v>
      </c>
      <c r="G57" s="33">
        <f t="shared" si="3"/>
        <v>926813.36000007391</v>
      </c>
      <c r="H57" s="103">
        <f t="shared" si="19"/>
        <v>3.0871037002743833</v>
      </c>
      <c r="I57" s="33">
        <f>+I55-I56</f>
        <v>-1355524.3712999225</v>
      </c>
      <c r="J57" s="43">
        <f t="shared" si="4"/>
        <v>-2.3384168698690914E-2</v>
      </c>
      <c r="K57" s="33">
        <f t="shared" si="6"/>
        <v>32304437.731299996</v>
      </c>
      <c r="L57" s="103">
        <f t="shared" si="5"/>
        <v>-2383.1690831438646</v>
      </c>
      <c r="M57" s="72" t="s">
        <v>137</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75</v>
      </c>
      <c r="C58" s="33">
        <f>+C57+C44</f>
        <v>34085067.220000073</v>
      </c>
      <c r="D58" s="43">
        <f t="shared" si="2"/>
        <v>0.49780166224680328</v>
      </c>
      <c r="E58" s="33">
        <f>+E57+E44</f>
        <v>32022100</v>
      </c>
      <c r="F58" s="43">
        <f t="shared" si="0"/>
        <v>0.48340352942952464</v>
      </c>
      <c r="G58" s="33">
        <f t="shared" si="3"/>
        <v>2062967.2200000733</v>
      </c>
      <c r="H58" s="103">
        <f t="shared" si="19"/>
        <v>6.4423233329484049</v>
      </c>
      <c r="I58" s="33">
        <f>+I57+I44</f>
        <v>810965.74870007765</v>
      </c>
      <c r="J58" s="43">
        <f t="shared" si="4"/>
        <v>1.398998076167152E-2</v>
      </c>
      <c r="K58" s="33">
        <f t="shared" si="6"/>
        <v>33274101.471299995</v>
      </c>
      <c r="L58" s="103">
        <f t="shared" si="5"/>
        <v>4103.0218014307129</v>
      </c>
      <c r="M58" s="72" t="s">
        <v>136</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76</v>
      </c>
      <c r="C59" s="33">
        <f>+C6-(C37-C50)</f>
        <v>129191949.92000008</v>
      </c>
      <c r="D59" s="43">
        <f t="shared" si="2"/>
        <v>1.8868077039128006</v>
      </c>
      <c r="E59" s="33">
        <f>+E6-(E37-E50)</f>
        <v>119022100</v>
      </c>
      <c r="F59" s="43">
        <f t="shared" si="0"/>
        <v>1.7967498452666697</v>
      </c>
      <c r="G59" s="33">
        <f t="shared" si="3"/>
        <v>10169849.920000076</v>
      </c>
      <c r="H59" s="103">
        <f t="shared" si="19"/>
        <v>8.5445055330061166</v>
      </c>
      <c r="I59" s="33">
        <f>+I6-(I37-I50)</f>
        <v>111035169.28870004</v>
      </c>
      <c r="J59" s="43">
        <f t="shared" si="4"/>
        <v>1.915469160945225</v>
      </c>
      <c r="K59" s="33">
        <f t="shared" si="6"/>
        <v>18156780.631300032</v>
      </c>
      <c r="L59" s="103">
        <f t="shared" si="5"/>
        <v>16.352278964956596</v>
      </c>
      <c r="M59" s="72" t="s">
        <v>135</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13694731.430000002</v>
      </c>
      <c r="D60" s="43">
        <f t="shared" si="2"/>
        <v>0.20000723559897757</v>
      </c>
      <c r="E60" s="33">
        <f>+E61+E62</f>
        <v>12000000</v>
      </c>
      <c r="F60" s="43">
        <f t="shared" si="0"/>
        <v>0.18115121597753725</v>
      </c>
      <c r="G60" s="33">
        <f t="shared" si="3"/>
        <v>1694731.4300000016</v>
      </c>
      <c r="H60" s="103">
        <f t="shared" si="19"/>
        <v>14.122761916666676</v>
      </c>
      <c r="I60" s="33">
        <f>+I61+I62+I63</f>
        <v>12160110.25</v>
      </c>
      <c r="J60" s="43">
        <f t="shared" si="4"/>
        <v>0.20977422132808307</v>
      </c>
      <c r="K60" s="33">
        <f t="shared" si="6"/>
        <v>1534621.1800000016</v>
      </c>
      <c r="L60" s="103">
        <f t="shared" si="5"/>
        <v>12.620125545325564</v>
      </c>
      <c r="M60" s="72" t="s">
        <v>138</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52</v>
      </c>
      <c r="C61" s="23">
        <v>10756488.330000002</v>
      </c>
      <c r="D61" s="41">
        <f t="shared" si="2"/>
        <v>0.15709512133426068</v>
      </c>
      <c r="E61" s="23">
        <v>8500000</v>
      </c>
      <c r="F61" s="41">
        <f t="shared" si="0"/>
        <v>0.12831544465075553</v>
      </c>
      <c r="G61" s="23">
        <f t="shared" si="3"/>
        <v>2256488.3300000019</v>
      </c>
      <c r="H61" s="98">
        <f t="shared" si="19"/>
        <v>26.546921529411776</v>
      </c>
      <c r="I61" s="23">
        <v>9137973.7199999988</v>
      </c>
      <c r="J61" s="41">
        <f t="shared" si="4"/>
        <v>0.15763930443225102</v>
      </c>
      <c r="K61" s="23">
        <f t="shared" si="6"/>
        <v>1618514.6100000031</v>
      </c>
      <c r="L61" s="98">
        <f t="shared" si="5"/>
        <v>17.711963938543732</v>
      </c>
      <c r="M61" s="74" t="s">
        <v>139</v>
      </c>
    </row>
    <row r="62" spans="1:16384" ht="15" customHeight="1">
      <c r="A62" s="21">
        <v>4612</v>
      </c>
      <c r="B62" s="22" t="s">
        <v>53</v>
      </c>
      <c r="C62" s="23">
        <v>2938243.1</v>
      </c>
      <c r="D62" s="41">
        <f t="shared" si="2"/>
        <v>4.2912114264716923E-2</v>
      </c>
      <c r="E62" s="23">
        <v>3500000</v>
      </c>
      <c r="F62" s="41">
        <f t="shared" si="0"/>
        <v>5.2835771326781703E-2</v>
      </c>
      <c r="G62" s="23">
        <f t="shared" si="3"/>
        <v>-561756.89999999991</v>
      </c>
      <c r="H62" s="98">
        <f t="shared" si="19"/>
        <v>-16.050197142857144</v>
      </c>
      <c r="I62" s="23">
        <v>3022136.5300000003</v>
      </c>
      <c r="J62" s="41">
        <f t="shared" si="4"/>
        <v>5.2134916895832002E-2</v>
      </c>
      <c r="K62" s="23">
        <f t="shared" si="6"/>
        <v>-83893.430000000168</v>
      </c>
      <c r="L62" s="98">
        <f t="shared" si="5"/>
        <v>-2.7759642612837183</v>
      </c>
      <c r="M62" s="74" t="s">
        <v>140</v>
      </c>
    </row>
    <row r="63" spans="1:16384" ht="15" hidden="1" customHeight="1">
      <c r="A63" s="21">
        <v>463</v>
      </c>
      <c r="B63" s="22" t="s">
        <v>46</v>
      </c>
      <c r="C63" s="23"/>
      <c r="D63" s="41"/>
      <c r="E63" s="23"/>
      <c r="F63" s="41"/>
      <c r="G63" s="23"/>
      <c r="H63" s="98">
        <f t="shared" si="19"/>
        <v>0</v>
      </c>
      <c r="I63" s="23"/>
      <c r="J63" s="41">
        <f t="shared" si="4"/>
        <v>0</v>
      </c>
      <c r="K63" s="23"/>
      <c r="L63" s="98">
        <f t="shared" si="5"/>
        <v>0</v>
      </c>
      <c r="M63" s="74"/>
    </row>
    <row r="64" spans="1:16384" s="34" customFormat="1" ht="15" customHeight="1">
      <c r="A64" s="31">
        <v>4418</v>
      </c>
      <c r="B64" s="32" t="s">
        <v>63</v>
      </c>
      <c r="C64" s="33">
        <v>0</v>
      </c>
      <c r="D64" s="43">
        <f t="shared" si="2"/>
        <v>0</v>
      </c>
      <c r="E64" s="33">
        <v>0</v>
      </c>
      <c r="F64" s="43">
        <f t="shared" ref="F64:F73" si="20">+E64/$E$2*100</f>
        <v>0</v>
      </c>
      <c r="G64" s="33">
        <f t="shared" si="3"/>
        <v>0</v>
      </c>
      <c r="H64" s="103">
        <f t="shared" si="19"/>
        <v>0</v>
      </c>
      <c r="I64" s="33">
        <v>0</v>
      </c>
      <c r="J64" s="43">
        <f t="shared" si="4"/>
        <v>0</v>
      </c>
      <c r="K64" s="33">
        <f t="shared" si="6"/>
        <v>0</v>
      </c>
      <c r="L64" s="103">
        <f t="shared" si="5"/>
        <v>0</v>
      </c>
      <c r="M64" s="72" t="s">
        <v>141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v>45</v>
      </c>
      <c r="B65" s="32" t="s">
        <v>44</v>
      </c>
      <c r="C65" s="33">
        <v>1020955.76</v>
      </c>
      <c r="D65" s="43">
        <f t="shared" si="2"/>
        <v>1.4910737042942738E-2</v>
      </c>
      <c r="E65" s="33">
        <v>0</v>
      </c>
      <c r="F65" s="43">
        <f t="shared" si="20"/>
        <v>0</v>
      </c>
      <c r="G65" s="33">
        <f t="shared" si="3"/>
        <v>1020955.76</v>
      </c>
      <c r="H65" s="103">
        <f t="shared" si="19"/>
        <v>0</v>
      </c>
      <c r="I65" s="33">
        <v>0</v>
      </c>
      <c r="J65" s="43">
        <f t="shared" si="4"/>
        <v>0</v>
      </c>
      <c r="K65" s="33">
        <f t="shared" si="6"/>
        <v>1020955.76</v>
      </c>
      <c r="L65" s="103">
        <f t="shared" si="5"/>
        <v>0</v>
      </c>
      <c r="M65" s="72" t="s">
        <v>129</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54</v>
      </c>
      <c r="C66" s="33">
        <f>+C57-C60-C64-C65</f>
        <v>16233226.170000074</v>
      </c>
      <c r="D66" s="43">
        <f t="shared" si="2"/>
        <v>0.23708115107699437</v>
      </c>
      <c r="E66" s="33">
        <f>+E57-E60-E64-E65</f>
        <v>18022100</v>
      </c>
      <c r="F66" s="43">
        <f t="shared" si="20"/>
        <v>0.27206044412239783</v>
      </c>
      <c r="G66" s="33">
        <f t="shared" ref="G66:G73" si="21">+C66-E66</f>
        <v>-1788873.8299999256</v>
      </c>
      <c r="H66" s="103">
        <f t="shared" si="19"/>
        <v>-9.9260010209682861</v>
      </c>
      <c r="I66" s="33">
        <f>+I57-I60-I64-I65</f>
        <v>-13515634.621299922</v>
      </c>
      <c r="J66" s="43">
        <f t="shared" si="4"/>
        <v>-0.23315839002677397</v>
      </c>
      <c r="K66" s="33">
        <f t="shared" ref="K66:K73" si="22">+C66-I66</f>
        <v>29748860.791299999</v>
      </c>
      <c r="L66" s="103">
        <f t="shared" si="5"/>
        <v>-220.10702142256326</v>
      </c>
      <c r="M66" s="72" t="s">
        <v>142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s="34" customFormat="1" ht="15" customHeight="1">
      <c r="A67" s="31"/>
      <c r="B67" s="32" t="s">
        <v>48</v>
      </c>
      <c r="C67" s="33">
        <f>+SUM(C68:C73)+C56</f>
        <v>-16233226.170000076</v>
      </c>
      <c r="D67" s="43">
        <f t="shared" ref="D67:D73" si="23">+C67/$C$2*100</f>
        <v>-0.23708115107699437</v>
      </c>
      <c r="E67" s="33">
        <f>+SUM(E68:E73)+E56</f>
        <v>-18022100</v>
      </c>
      <c r="F67" s="43">
        <f t="shared" si="20"/>
        <v>-0.27206044412239783</v>
      </c>
      <c r="G67" s="33">
        <f t="shared" si="21"/>
        <v>1788873.8299999237</v>
      </c>
      <c r="H67" s="103">
        <f t="shared" si="19"/>
        <v>-9.9260010209682719</v>
      </c>
      <c r="I67" s="33">
        <f>+SUM(I68:I73)+I56</f>
        <v>13515634.621299922</v>
      </c>
      <c r="J67" s="43">
        <f t="shared" ref="J67:J73" si="24">+I67/$I$2*100</f>
        <v>0.23315839002677397</v>
      </c>
      <c r="K67" s="33">
        <f t="shared" si="22"/>
        <v>-29748860.791299999</v>
      </c>
      <c r="L67" s="103">
        <f t="shared" si="5"/>
        <v>-220.10702142256326</v>
      </c>
      <c r="M67" s="72" t="s">
        <v>143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c r="WXZ67" s="1"/>
      <c r="WYA67" s="1"/>
      <c r="WYB67" s="1"/>
      <c r="WYC67" s="1"/>
      <c r="WYD67" s="1"/>
      <c r="WYE67" s="1"/>
      <c r="WYF67" s="1"/>
      <c r="WYG67" s="1"/>
      <c r="WYH67" s="1"/>
      <c r="WYI67" s="1"/>
      <c r="WYJ67" s="1"/>
      <c r="WYK67" s="1"/>
      <c r="WYL67" s="1"/>
      <c r="WYM67" s="1"/>
      <c r="WYN67" s="1"/>
      <c r="WYO67" s="1"/>
      <c r="WYP67" s="1"/>
      <c r="WYQ67" s="1"/>
      <c r="WYR67" s="1"/>
      <c r="WYS67" s="1"/>
      <c r="WYT67" s="1"/>
      <c r="WYU67" s="1"/>
      <c r="WYV67" s="1"/>
      <c r="WYW67" s="1"/>
      <c r="WYX67" s="1"/>
      <c r="WYY67" s="1"/>
      <c r="WYZ67" s="1"/>
      <c r="WZA67" s="1"/>
      <c r="WZB67" s="1"/>
      <c r="WZC67" s="1"/>
      <c r="WZD67" s="1"/>
      <c r="WZE67" s="1"/>
      <c r="WZF67" s="1"/>
      <c r="WZG67" s="1"/>
      <c r="WZH67" s="1"/>
      <c r="WZI67" s="1"/>
      <c r="WZJ67" s="1"/>
      <c r="WZK67" s="1"/>
      <c r="WZL67" s="1"/>
      <c r="WZM67" s="1"/>
      <c r="WZN67" s="1"/>
      <c r="WZO67" s="1"/>
      <c r="WZP67" s="1"/>
      <c r="WZQ67" s="1"/>
      <c r="WZR67" s="1"/>
      <c r="WZS67" s="1"/>
      <c r="WZT67" s="1"/>
      <c r="WZU67" s="1"/>
      <c r="WZV67" s="1"/>
      <c r="WZW67" s="1"/>
      <c r="WZX67" s="1"/>
      <c r="WZY67" s="1"/>
      <c r="WZZ67" s="1"/>
      <c r="XAA67" s="1"/>
      <c r="XAB67" s="1"/>
      <c r="XAC67" s="1"/>
      <c r="XAD67" s="1"/>
      <c r="XAE67" s="1"/>
      <c r="XAF67" s="1"/>
      <c r="XAG67" s="1"/>
      <c r="XAH67" s="1"/>
      <c r="XAI67" s="1"/>
      <c r="XAJ67" s="1"/>
      <c r="XAK67" s="1"/>
      <c r="XAL67" s="1"/>
      <c r="XAM67" s="1"/>
      <c r="XAN67" s="1"/>
      <c r="XAO67" s="1"/>
      <c r="XAP67" s="1"/>
      <c r="XAQ67" s="1"/>
      <c r="XAR67" s="1"/>
      <c r="XAS67" s="1"/>
      <c r="XAT67" s="1"/>
      <c r="XAU67" s="1"/>
      <c r="XAV67" s="1"/>
      <c r="XAW67" s="1"/>
      <c r="XAX67" s="1"/>
      <c r="XAY67" s="1"/>
      <c r="XAZ67" s="1"/>
      <c r="XBA67" s="1"/>
      <c r="XBB67" s="1"/>
      <c r="XBC67" s="1"/>
      <c r="XBD67" s="1"/>
      <c r="XBE67" s="1"/>
      <c r="XBF67" s="1"/>
      <c r="XBG67" s="1"/>
      <c r="XBH67" s="1"/>
      <c r="XBI67" s="1"/>
      <c r="XBJ67" s="1"/>
      <c r="XBK67" s="1"/>
      <c r="XBL67" s="1"/>
      <c r="XBM67" s="1"/>
      <c r="XBN67" s="1"/>
      <c r="XBO67" s="1"/>
      <c r="XBP67" s="1"/>
      <c r="XBQ67" s="1"/>
      <c r="XBR67" s="1"/>
      <c r="XBS67" s="1"/>
      <c r="XBT67" s="1"/>
      <c r="XBU67" s="1"/>
      <c r="XBV67" s="1"/>
      <c r="XBW67" s="1"/>
      <c r="XBX67" s="1"/>
      <c r="XBY67" s="1"/>
      <c r="XBZ67" s="1"/>
      <c r="XCA67" s="1"/>
      <c r="XCB67" s="1"/>
      <c r="XCC67" s="1"/>
      <c r="XCD67" s="1"/>
      <c r="XCE67" s="1"/>
      <c r="XCF67" s="1"/>
      <c r="XCG67" s="1"/>
      <c r="XCH67" s="1"/>
      <c r="XCI67" s="1"/>
      <c r="XCJ67" s="1"/>
      <c r="XCK67" s="1"/>
      <c r="XCL67" s="1"/>
      <c r="XCM67" s="1"/>
      <c r="XCN67" s="1"/>
      <c r="XCO67" s="1"/>
      <c r="XCP67" s="1"/>
      <c r="XCQ67" s="1"/>
      <c r="XCR67" s="1"/>
      <c r="XCS67" s="1"/>
      <c r="XCT67" s="1"/>
      <c r="XCU67" s="1"/>
      <c r="XCV67" s="1"/>
      <c r="XCW67" s="1"/>
      <c r="XCX67" s="1"/>
      <c r="XCY67" s="1"/>
      <c r="XCZ67" s="1"/>
      <c r="XDA67" s="1"/>
      <c r="XDB67" s="1"/>
      <c r="XDC67" s="1"/>
      <c r="XDD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c r="XEW67" s="1"/>
      <c r="XEX67" s="1"/>
      <c r="XEY67" s="1"/>
      <c r="XEZ67" s="1"/>
      <c r="XFA67" s="1"/>
      <c r="XFB67" s="1"/>
      <c r="XFC67" s="1"/>
      <c r="XFD67" s="1"/>
    </row>
    <row r="68" spans="1:16384">
      <c r="A68" s="21">
        <v>7511</v>
      </c>
      <c r="B68" s="22" t="s">
        <v>55</v>
      </c>
      <c r="C68" s="23">
        <v>2977633.08</v>
      </c>
      <c r="D68" s="41">
        <f t="shared" si="23"/>
        <v>4.3487392505868895E-2</v>
      </c>
      <c r="E68" s="23">
        <v>5000000</v>
      </c>
      <c r="F68" s="41">
        <f t="shared" si="20"/>
        <v>7.5479673323973859E-2</v>
      </c>
      <c r="G68" s="23">
        <f t="shared" si="21"/>
        <v>-2022366.92</v>
      </c>
      <c r="H68" s="98">
        <f t="shared" si="19"/>
        <v>-40.4473384</v>
      </c>
      <c r="I68" s="70">
        <v>9199752.4699999988</v>
      </c>
      <c r="J68" s="41">
        <f t="shared" si="24"/>
        <v>0.15870505045835079</v>
      </c>
      <c r="K68" s="23">
        <f t="shared" si="22"/>
        <v>-6222119.3899999987</v>
      </c>
      <c r="L68" s="98">
        <f t="shared" si="5"/>
        <v>-67.633552210128101</v>
      </c>
      <c r="M68" s="74" t="s">
        <v>144</v>
      </c>
    </row>
    <row r="69" spans="1:16384" ht="15" customHeight="1">
      <c r="A69" s="21">
        <v>7512</v>
      </c>
      <c r="B69" s="22" t="s">
        <v>49</v>
      </c>
      <c r="C69" s="23">
        <v>1439321.71</v>
      </c>
      <c r="D69" s="41">
        <f t="shared" si="23"/>
        <v>2.1020839862844483E-2</v>
      </c>
      <c r="E69" s="23">
        <v>2000000</v>
      </c>
      <c r="F69" s="41">
        <f t="shared" si="20"/>
        <v>3.0191869329589539E-2</v>
      </c>
      <c r="G69" s="23">
        <f t="shared" si="21"/>
        <v>-560678.29</v>
      </c>
      <c r="H69" s="98">
        <f t="shared" si="19"/>
        <v>-28.033914499999995</v>
      </c>
      <c r="I69" s="70">
        <v>2446665.7300000004</v>
      </c>
      <c r="J69" s="41">
        <f t="shared" si="24"/>
        <v>4.2207462581258751E-2</v>
      </c>
      <c r="K69" s="23">
        <f t="shared" si="22"/>
        <v>-1007344.0200000005</v>
      </c>
      <c r="L69" s="98">
        <f t="shared" si="5"/>
        <v>-41.172114672158358</v>
      </c>
      <c r="M69" s="74" t="s">
        <v>145</v>
      </c>
    </row>
    <row r="70" spans="1:16384" ht="15" customHeight="1">
      <c r="A70" s="18">
        <v>72</v>
      </c>
      <c r="B70" s="19" t="s">
        <v>172</v>
      </c>
      <c r="C70" s="20">
        <v>6843932.6399999997</v>
      </c>
      <c r="D70" s="40">
        <f t="shared" si="23"/>
        <v>9.9953478821308464E-2</v>
      </c>
      <c r="E70" s="20">
        <v>7000000</v>
      </c>
      <c r="F70" s="40">
        <f t="shared" si="20"/>
        <v>0.10567154265356341</v>
      </c>
      <c r="G70" s="20">
        <f t="shared" si="21"/>
        <v>-156067.36000000034</v>
      </c>
      <c r="H70" s="93">
        <f t="shared" si="19"/>
        <v>-2.2295337142857079</v>
      </c>
      <c r="I70" s="69">
        <v>20719550.920000002</v>
      </c>
      <c r="J70" s="40">
        <f t="shared" si="24"/>
        <v>0.35743324453086822</v>
      </c>
      <c r="K70" s="20">
        <f t="shared" si="22"/>
        <v>-13875618.280000001</v>
      </c>
      <c r="L70" s="93">
        <f t="shared" si="5"/>
        <v>-66.968721154116594</v>
      </c>
      <c r="M70" s="73" t="s">
        <v>146</v>
      </c>
    </row>
    <row r="71" spans="1:16384" ht="15" customHeight="1">
      <c r="A71" s="28">
        <v>73</v>
      </c>
      <c r="B71" s="19" t="s">
        <v>188</v>
      </c>
      <c r="C71" s="30">
        <v>242815.61</v>
      </c>
      <c r="D71" s="40">
        <f t="shared" si="23"/>
        <v>3.5462454422429991E-3</v>
      </c>
      <c r="E71" s="30">
        <v>300000</v>
      </c>
      <c r="F71" s="40">
        <f t="shared" si="20"/>
        <v>4.5287803994384316E-3</v>
      </c>
      <c r="G71" s="20">
        <f t="shared" si="21"/>
        <v>-57184.390000000014</v>
      </c>
      <c r="H71" s="93">
        <f t="shared" si="19"/>
        <v>-19.061463333333336</v>
      </c>
      <c r="I71" s="69">
        <v>269489.22000000003</v>
      </c>
      <c r="J71" s="40">
        <f t="shared" si="24"/>
        <v>4.6489620669197852E-3</v>
      </c>
      <c r="K71" s="20">
        <f t="shared" si="22"/>
        <v>-26673.610000000044</v>
      </c>
      <c r="L71" s="93">
        <f t="shared" ref="L71:L73" si="25">IFERROR(C71/I71*100-100,0)</f>
        <v>-9.8978393273022363</v>
      </c>
      <c r="M71" s="76" t="s">
        <v>108</v>
      </c>
    </row>
    <row r="72" spans="1:16384" ht="15" customHeight="1">
      <c r="A72" s="28"/>
      <c r="B72" s="29" t="s">
        <v>152</v>
      </c>
      <c r="C72" s="30">
        <v>19547081.560000002</v>
      </c>
      <c r="D72" s="40">
        <f t="shared" si="23"/>
        <v>0.28547896443437959</v>
      </c>
      <c r="E72" s="30">
        <v>15000000</v>
      </c>
      <c r="F72" s="40">
        <f t="shared" ref="F72" si="26">+E72/$E$2*100</f>
        <v>0.22643901997192159</v>
      </c>
      <c r="G72" s="20">
        <f t="shared" ref="G72" si="27">+C72-E72</f>
        <v>4547081.5600000024</v>
      </c>
      <c r="H72" s="93">
        <f t="shared" si="19"/>
        <v>30.313877066666691</v>
      </c>
      <c r="I72" s="71">
        <v>7074339.3700000001</v>
      </c>
      <c r="J72" s="40">
        <f t="shared" ref="J72" si="28">+I72/$I$2*100</f>
        <v>0.12203952120848179</v>
      </c>
      <c r="K72" s="20">
        <f t="shared" ref="K72" si="29">+C72-I72</f>
        <v>12472742.190000001</v>
      </c>
      <c r="L72" s="93">
        <f t="shared" si="25"/>
        <v>176.30963878963587</v>
      </c>
      <c r="M72" s="76" t="s">
        <v>153</v>
      </c>
    </row>
    <row r="73" spans="1:16384" ht="15" customHeight="1" thickBot="1">
      <c r="A73" s="24"/>
      <c r="B73" s="25" t="s">
        <v>50</v>
      </c>
      <c r="C73" s="26">
        <f>+-C66-(SUM(C68:C72)+C56)</f>
        <v>-47284010.770000078</v>
      </c>
      <c r="D73" s="42">
        <f t="shared" si="23"/>
        <v>-0.6905680721436388</v>
      </c>
      <c r="E73" s="26">
        <f>+-E66-SUM(E68:E72)</f>
        <v>-47322100</v>
      </c>
      <c r="F73" s="42">
        <f t="shared" si="20"/>
        <v>-0.71437132980088458</v>
      </c>
      <c r="G73" s="26">
        <f t="shared" si="21"/>
        <v>38089.229999922216</v>
      </c>
      <c r="H73" s="99">
        <f t="shared" si="19"/>
        <v>-8.048930626478068E-2</v>
      </c>
      <c r="I73" s="26">
        <f>+-I66-(SUM(I68:I72)+I56)</f>
        <v>-26194163.088700078</v>
      </c>
      <c r="J73" s="42">
        <f t="shared" si="24"/>
        <v>-0.45187585081910531</v>
      </c>
      <c r="K73" s="26">
        <f t="shared" si="22"/>
        <v>-21089847.681299999</v>
      </c>
      <c r="L73" s="99">
        <f t="shared" si="25"/>
        <v>80.513538874612749</v>
      </c>
      <c r="M73" s="77" t="s">
        <v>147</v>
      </c>
    </row>
    <row r="74" spans="1:16384" ht="13.5" customHeight="1"/>
    <row r="78" spans="1:16384">
      <c r="G78" s="88"/>
    </row>
    <row r="80" spans="1:16384">
      <c r="J80" s="89"/>
    </row>
  </sheetData>
  <sheetProtection algorithmName="SHA-512" hashValue="DVd5PNEbhHIVfBXznAP58TL1+NwRGtztBwFJA341bLG/ZnCWcuMwuMSGdFrrZt03LJ3hYBFidSUK2sNOISDL6Q==" saltValue="ymeSpjBO9LB7Wq3HQczmdg=="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C64"/>
  <sheetViews>
    <sheetView zoomScale="90" zoomScaleNormal="90" zoomScaleSheetLayoutView="90" workbookViewId="0">
      <pane ySplit="5" topLeftCell="A24" activePane="bottomLeft" state="frozen"/>
      <selection activeCell="G14" sqref="G14"/>
      <selection pane="bottomLeft" activeCell="I2" sqref="I2:J2"/>
    </sheetView>
  </sheetViews>
  <sheetFormatPr defaultColWidth="9.140625" defaultRowHeight="13.5"/>
  <cols>
    <col min="1" max="1" width="12.7109375" style="4" customWidth="1"/>
    <col min="2" max="2" width="65.7109375" style="4" bestFit="1" customWidth="1"/>
    <col min="3" max="3" width="9.140625" style="6"/>
    <col min="4" max="4" width="9.140625" style="4"/>
    <col min="5" max="5" width="9.140625" style="6"/>
    <col min="6" max="6" width="10" style="7" customWidth="1"/>
    <col min="7" max="7" width="10.42578125" style="6" customWidth="1"/>
    <col min="8" max="8" width="11.5703125" style="100" customWidth="1"/>
    <col min="9" max="9" width="9.140625" style="6"/>
    <col min="10" max="10" width="9.5703125" style="7" customWidth="1"/>
    <col min="11" max="11" width="11.28515625" style="6" customWidth="1"/>
    <col min="12" max="12" width="11.7109375" style="100" customWidth="1"/>
    <col min="13" max="13" width="53.85546875" style="4" customWidth="1"/>
    <col min="14" max="14" width="9.140625" style="1"/>
    <col min="15" max="15" width="12.140625" style="1" bestFit="1" customWidth="1"/>
    <col min="16" max="17" width="23.85546875" style="1" bestFit="1" customWidth="1"/>
    <col min="18" max="18" width="10.42578125" style="1" bestFit="1" customWidth="1"/>
    <col min="19" max="16384" width="9.140625" style="1"/>
  </cols>
  <sheetData>
    <row r="1" spans="1:16357" ht="18.75" customHeight="1" thickBot="1">
      <c r="B1" s="109"/>
      <c r="M1" s="5"/>
    </row>
    <row r="2" spans="1:16357" ht="15.75" customHeight="1" thickBot="1">
      <c r="A2" s="8" t="s">
        <v>58</v>
      </c>
      <c r="B2" s="8"/>
      <c r="C2" s="111">
        <f>'Centralna država-ek klas'!C2:D2</f>
        <v>6847118000</v>
      </c>
      <c r="D2" s="112"/>
      <c r="E2" s="111">
        <f>'Centralna država-ek klas'!E2:F2</f>
        <v>6624300000</v>
      </c>
      <c r="F2" s="112"/>
      <c r="G2" s="9"/>
      <c r="H2" s="101"/>
      <c r="I2" s="111">
        <v>5924018000</v>
      </c>
      <c r="J2" s="112"/>
      <c r="K2" s="9"/>
      <c r="L2" s="101"/>
      <c r="M2" s="8" t="s">
        <v>78</v>
      </c>
    </row>
    <row r="3" spans="1:16357" ht="15" customHeight="1" thickBot="1">
      <c r="A3" s="8"/>
      <c r="B3" s="8"/>
      <c r="C3" s="11"/>
      <c r="D3" s="8"/>
      <c r="E3" s="11"/>
      <c r="F3" s="10"/>
      <c r="G3" s="11"/>
      <c r="H3" s="101"/>
      <c r="I3" s="11"/>
      <c r="J3" s="10"/>
      <c r="K3" s="11"/>
      <c r="L3" s="101"/>
      <c r="M3" s="8"/>
    </row>
    <row r="4" spans="1:16357" ht="15" customHeight="1">
      <c r="A4" s="117" t="s">
        <v>70</v>
      </c>
      <c r="B4" s="115" t="s">
        <v>71</v>
      </c>
      <c r="C4" s="121" t="s">
        <v>192</v>
      </c>
      <c r="D4" s="122"/>
      <c r="E4" s="119" t="s">
        <v>194</v>
      </c>
      <c r="F4" s="120"/>
      <c r="G4" s="119" t="s">
        <v>171</v>
      </c>
      <c r="H4" s="120"/>
      <c r="I4" s="119" t="s">
        <v>195</v>
      </c>
      <c r="J4" s="120"/>
      <c r="K4" s="119" t="s">
        <v>171</v>
      </c>
      <c r="L4" s="120"/>
      <c r="M4" s="113" t="s">
        <v>148</v>
      </c>
    </row>
    <row r="5" spans="1:16357" ht="24" customHeight="1">
      <c r="A5" s="118"/>
      <c r="B5" s="116"/>
      <c r="C5" s="12" t="s">
        <v>61</v>
      </c>
      <c r="D5" s="13" t="s">
        <v>56</v>
      </c>
      <c r="E5" s="12" t="s">
        <v>61</v>
      </c>
      <c r="F5" s="13" t="s">
        <v>56</v>
      </c>
      <c r="G5" s="12" t="s">
        <v>64</v>
      </c>
      <c r="H5" s="102" t="s">
        <v>62</v>
      </c>
      <c r="I5" s="12" t="s">
        <v>61</v>
      </c>
      <c r="J5" s="14" t="s">
        <v>56</v>
      </c>
      <c r="K5" s="12" t="s">
        <v>61</v>
      </c>
      <c r="L5" s="104" t="s">
        <v>62</v>
      </c>
      <c r="M5" s="114"/>
    </row>
    <row r="6" spans="1:16357" s="38" customFormat="1" ht="15" customHeight="1">
      <c r="A6" s="35"/>
      <c r="B6" s="36" t="s">
        <v>51</v>
      </c>
      <c r="C6" s="37">
        <f>+C7+C17+C22+C23+C24+C25+C26</f>
        <v>2941304094.0900002</v>
      </c>
      <c r="D6" s="44">
        <f>+C6/$C$2*100</f>
        <v>42.956819118496284</v>
      </c>
      <c r="E6" s="37">
        <f>+E7+E17+E22+E23+E24+E25+E26</f>
        <v>2777286071.703506</v>
      </c>
      <c r="F6" s="44">
        <f t="shared" ref="F6:F52" si="0">+E6/$E$2*100</f>
        <v>41.925729083880654</v>
      </c>
      <c r="G6" s="37">
        <f>+C6-E6</f>
        <v>164018022.38649416</v>
      </c>
      <c r="H6" s="105">
        <f>IFERROR(C6/E6*100-100,0)</f>
        <v>5.9056941975693036</v>
      </c>
      <c r="I6" s="37">
        <f>+I7+I17+I22+I23+I24+I25+I26</f>
        <v>2322292506.1900005</v>
      </c>
      <c r="J6" s="44">
        <f>+I6/$I$2*100</f>
        <v>39.201307392887742</v>
      </c>
      <c r="K6" s="37">
        <f>+C6-I6</f>
        <v>619011587.89999962</v>
      </c>
      <c r="L6" s="105">
        <f>IFERROR(C6/I6*100-100,0)</f>
        <v>26.655194651407726</v>
      </c>
      <c r="M6" s="81" t="s">
        <v>149</v>
      </c>
      <c r="N6" s="1"/>
      <c r="O6" s="1"/>
      <c r="P6" s="86"/>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1889526256.7200003</v>
      </c>
      <c r="D7" s="40">
        <f t="shared" ref="D7:D56" si="1">+C7/$C$2*100</f>
        <v>27.595935351486574</v>
      </c>
      <c r="E7" s="20">
        <f>+SUM(E8:E16)</f>
        <v>1791036556.7265537</v>
      </c>
      <c r="F7" s="40">
        <f t="shared" si="0"/>
        <v>27.037370842603046</v>
      </c>
      <c r="G7" s="20">
        <f t="shared" ref="G7:G55" si="2">+C7-E7</f>
        <v>98489699.993446589</v>
      </c>
      <c r="H7" s="93">
        <f t="shared" ref="H7:H63" si="3">IFERROR(C7/E7*100-100,0)</f>
        <v>5.4990334855841638</v>
      </c>
      <c r="I7" s="20">
        <f>+SUM(I8:I16)</f>
        <v>1558131454.3600001</v>
      </c>
      <c r="J7" s="40">
        <f t="shared" ref="J7:J56" si="4">+I7/$I$2*100</f>
        <v>26.301936529564902</v>
      </c>
      <c r="K7" s="20">
        <f t="shared" ref="K7:K55" si="5">+C7-I7</f>
        <v>331394802.36000013</v>
      </c>
      <c r="L7" s="93">
        <f t="shared" ref="L7:L63" si="6">IFERROR(C7/I7*100-100,0)</f>
        <v>21.268731943808945</v>
      </c>
      <c r="M7" s="73" t="s">
        <v>79</v>
      </c>
      <c r="Q7" s="86"/>
    </row>
    <row r="8" spans="1:16357" ht="15" customHeight="1">
      <c r="A8" s="21">
        <v>7111</v>
      </c>
      <c r="B8" s="22" t="s">
        <v>2</v>
      </c>
      <c r="C8" s="23">
        <f>+'Centralna država-ek klas'!C8+'Lokalna država-ek klas '!C8</f>
        <v>150512499.33000001</v>
      </c>
      <c r="D8" s="41">
        <f t="shared" si="1"/>
        <v>2.1981876072531539</v>
      </c>
      <c r="E8" s="23">
        <f>+'Centralna država-ek klas'!E8+'Lokalna država-ek klas '!E8</f>
        <v>145998253.66320002</v>
      </c>
      <c r="F8" s="41">
        <f t="shared" si="0"/>
        <v>2.2039800984738012</v>
      </c>
      <c r="G8" s="23">
        <f t="shared" si="2"/>
        <v>4514245.6667999923</v>
      </c>
      <c r="H8" s="98">
        <f t="shared" si="3"/>
        <v>3.0919860707469837</v>
      </c>
      <c r="I8" s="23">
        <f>+'Centralna država-ek klas'!I8+'Lokalna država-ek klas '!I8</f>
        <v>136670734.58000001</v>
      </c>
      <c r="J8" s="41">
        <f t="shared" si="4"/>
        <v>2.3070614333042205</v>
      </c>
      <c r="K8" s="23">
        <f t="shared" si="5"/>
        <v>13841764.75</v>
      </c>
      <c r="L8" s="98">
        <f t="shared" si="6"/>
        <v>10.127819092022023</v>
      </c>
      <c r="M8" s="74" t="s">
        <v>80</v>
      </c>
      <c r="P8" s="90"/>
      <c r="Q8" s="90"/>
      <c r="R8" s="90"/>
    </row>
    <row r="9" spans="1:16357" ht="15" customHeight="1">
      <c r="A9" s="21">
        <v>7112</v>
      </c>
      <c r="B9" s="22" t="s">
        <v>3</v>
      </c>
      <c r="C9" s="23">
        <f>+'Centralna država-ek klas'!C9</f>
        <v>151284476.47</v>
      </c>
      <c r="D9" s="41">
        <f t="shared" si="1"/>
        <v>2.2094620900355451</v>
      </c>
      <c r="E9" s="23">
        <f>+'Centralna država-ek klas'!E9</f>
        <v>134648421.1653218</v>
      </c>
      <c r="F9" s="41">
        <f t="shared" si="0"/>
        <v>2.0326437686294674</v>
      </c>
      <c r="G9" s="23">
        <f t="shared" si="2"/>
        <v>16636055.304678202</v>
      </c>
      <c r="H9" s="98">
        <f t="shared" si="3"/>
        <v>12.355180373227242</v>
      </c>
      <c r="I9" s="23">
        <f>+'Centralna država-ek klas'!I9</f>
        <v>90169159.159999996</v>
      </c>
      <c r="J9" s="41">
        <f t="shared" si="4"/>
        <v>1.5220946182135164</v>
      </c>
      <c r="K9" s="23">
        <f t="shared" si="5"/>
        <v>61115317.310000002</v>
      </c>
      <c r="L9" s="98">
        <f t="shared" si="6"/>
        <v>67.778515269898861</v>
      </c>
      <c r="M9" s="74" t="s">
        <v>81</v>
      </c>
    </row>
    <row r="10" spans="1:16357" ht="15" customHeight="1">
      <c r="A10" s="21">
        <v>71131</v>
      </c>
      <c r="B10" s="22" t="s">
        <v>66</v>
      </c>
      <c r="C10" s="23">
        <f>+'Lokalna država-ek klas '!C9</f>
        <v>92688093.199999973</v>
      </c>
      <c r="D10" s="41">
        <f t="shared" si="1"/>
        <v>1.3536803834839706</v>
      </c>
      <c r="E10" s="23">
        <f>+'Lokalna država-ek klas '!E9</f>
        <v>86400000</v>
      </c>
      <c r="F10" s="41">
        <f t="shared" si="0"/>
        <v>1.3042887550382682</v>
      </c>
      <c r="G10" s="23">
        <f t="shared" si="2"/>
        <v>6288093.1999999732</v>
      </c>
      <c r="H10" s="98">
        <f t="shared" si="3"/>
        <v>7.2778856481481142</v>
      </c>
      <c r="I10" s="23">
        <f>+'Lokalna država-ek klas '!I9</f>
        <v>83008167.709999964</v>
      </c>
      <c r="J10" s="41">
        <f t="shared" si="4"/>
        <v>1.4012139684585692</v>
      </c>
      <c r="K10" s="23">
        <f t="shared" si="5"/>
        <v>9679925.4900000095</v>
      </c>
      <c r="L10" s="98">
        <f t="shared" si="6"/>
        <v>11.661413276604435</v>
      </c>
      <c r="M10" s="74" t="s">
        <v>150</v>
      </c>
    </row>
    <row r="11" spans="1:16357" ht="15" customHeight="1">
      <c r="A11" s="21">
        <v>71132</v>
      </c>
      <c r="B11" s="22" t="s">
        <v>4</v>
      </c>
      <c r="C11" s="23">
        <f>+'Centralna država-ek klas'!C10+'Lokalna država-ek klas '!C10</f>
        <v>24827401.819999997</v>
      </c>
      <c r="D11" s="41">
        <f t="shared" si="1"/>
        <v>0.36259637733715117</v>
      </c>
      <c r="E11" s="23">
        <f>+'Centralna država-ek klas'!E10+'Lokalna država-ek klas '!E10</f>
        <v>21930000</v>
      </c>
      <c r="F11" s="41">
        <f t="shared" si="0"/>
        <v>0.33105384719894931</v>
      </c>
      <c r="G11" s="23">
        <f t="shared" si="2"/>
        <v>2897401.8199999966</v>
      </c>
      <c r="H11" s="98">
        <f t="shared" si="3"/>
        <v>13.212046602827158</v>
      </c>
      <c r="I11" s="23">
        <f>+'Centralna država-ek klas'!I10+'Lokalna država-ek klas '!I10</f>
        <v>24439472.229999997</v>
      </c>
      <c r="J11" s="41">
        <f t="shared" si="4"/>
        <v>0.41254891916263586</v>
      </c>
      <c r="K11" s="23">
        <f t="shared" si="5"/>
        <v>387929.58999999985</v>
      </c>
      <c r="L11" s="98">
        <f t="shared" si="6"/>
        <v>1.5873075586460885</v>
      </c>
      <c r="M11" s="74" t="s">
        <v>82</v>
      </c>
    </row>
    <row r="12" spans="1:16357" ht="15" customHeight="1">
      <c r="A12" s="21">
        <v>7114</v>
      </c>
      <c r="B12" s="22" t="s">
        <v>5</v>
      </c>
      <c r="C12" s="23">
        <f>+'Centralna država-ek klas'!C11</f>
        <v>1059267077.4700001</v>
      </c>
      <c r="D12" s="41">
        <f t="shared" si="1"/>
        <v>15.470261757866597</v>
      </c>
      <c r="E12" s="23">
        <f>+'Centralna država-ek klas'!E11</f>
        <v>1028042967.1590319</v>
      </c>
      <c r="F12" s="41">
        <f t="shared" si="0"/>
        <v>15.519269464834501</v>
      </c>
      <c r="G12" s="23">
        <f t="shared" si="2"/>
        <v>31224110.31096828</v>
      </c>
      <c r="H12" s="98">
        <f t="shared" si="3"/>
        <v>3.0372378692745912</v>
      </c>
      <c r="I12" s="23">
        <f>+'Centralna država-ek klas'!I11</f>
        <v>908047104.25999999</v>
      </c>
      <c r="J12" s="41">
        <f t="shared" si="4"/>
        <v>15.32822999963876</v>
      </c>
      <c r="K12" s="23">
        <f t="shared" si="5"/>
        <v>151219973.21000016</v>
      </c>
      <c r="L12" s="98">
        <f t="shared" si="6"/>
        <v>16.653318148427417</v>
      </c>
      <c r="M12" s="74" t="s">
        <v>83</v>
      </c>
    </row>
    <row r="13" spans="1:16357" ht="15" customHeight="1">
      <c r="A13" s="21">
        <v>7115</v>
      </c>
      <c r="B13" s="22" t="s">
        <v>6</v>
      </c>
      <c r="C13" s="23">
        <f>+'Centralna država-ek klas'!C12</f>
        <v>323121644.95999998</v>
      </c>
      <c r="D13" s="41">
        <f t="shared" si="1"/>
        <v>4.7190897682791499</v>
      </c>
      <c r="E13" s="23">
        <f>+'Centralna država-ek klas'!E12</f>
        <v>296409200</v>
      </c>
      <c r="F13" s="41">
        <f t="shared" si="0"/>
        <v>4.4745739172440864</v>
      </c>
      <c r="G13" s="23">
        <f t="shared" si="2"/>
        <v>26712444.959999979</v>
      </c>
      <c r="H13" s="98">
        <f t="shared" si="3"/>
        <v>9.0120161452478413</v>
      </c>
      <c r="I13" s="23">
        <f>+'Centralna država-ek klas'!I12</f>
        <v>245872611.77000001</v>
      </c>
      <c r="J13" s="41">
        <f t="shared" si="4"/>
        <v>4.150436608565335</v>
      </c>
      <c r="K13" s="23">
        <f t="shared" si="5"/>
        <v>77249033.189999968</v>
      </c>
      <c r="L13" s="98">
        <f t="shared" si="6"/>
        <v>31.418315620392093</v>
      </c>
      <c r="M13" s="74" t="s">
        <v>84</v>
      </c>
    </row>
    <row r="14" spans="1:16357" ht="15" customHeight="1">
      <c r="A14" s="21">
        <v>7116</v>
      </c>
      <c r="B14" s="22" t="s">
        <v>7</v>
      </c>
      <c r="C14" s="23">
        <f>+'Centralna država-ek klas'!C13</f>
        <v>52191310.710000001</v>
      </c>
      <c r="D14" s="41">
        <f t="shared" si="1"/>
        <v>0.76223764085853352</v>
      </c>
      <c r="E14" s="23">
        <f>+'Centralna država-ek klas'!E13</f>
        <v>47650000</v>
      </c>
      <c r="F14" s="41">
        <f t="shared" si="0"/>
        <v>0.71932128677747076</v>
      </c>
      <c r="G14" s="23">
        <f t="shared" si="2"/>
        <v>4541310.7100000009</v>
      </c>
      <c r="H14" s="98">
        <f t="shared" si="3"/>
        <v>9.5305576285414446</v>
      </c>
      <c r="I14" s="23">
        <f>+'Centralna država-ek klas'!I13</f>
        <v>40239493.630000003</v>
      </c>
      <c r="J14" s="41">
        <f t="shared" si="4"/>
        <v>0.67926015130271389</v>
      </c>
      <c r="K14" s="23">
        <f t="shared" si="5"/>
        <v>11951817.079999998</v>
      </c>
      <c r="L14" s="98">
        <f t="shared" si="6"/>
        <v>29.701708450648823</v>
      </c>
      <c r="M14" s="74" t="s">
        <v>85</v>
      </c>
    </row>
    <row r="15" spans="1:16357" ht="15" customHeight="1">
      <c r="A15" s="21"/>
      <c r="B15" s="22" t="s">
        <v>159</v>
      </c>
      <c r="C15" s="23">
        <f>+'Lokalna država-ek klas '!C11</f>
        <v>21893373.839999996</v>
      </c>
      <c r="D15" s="41">
        <f t="shared" si="1"/>
        <v>0.31974582357131859</v>
      </c>
      <c r="E15" s="23">
        <f>+'Lokalna država-ek klas '!E11</f>
        <v>17700000</v>
      </c>
      <c r="F15" s="41">
        <f t="shared" si="0"/>
        <v>0.26719804356686744</v>
      </c>
      <c r="G15" s="23">
        <f t="shared" si="2"/>
        <v>4193373.8399999961</v>
      </c>
      <c r="H15" s="98">
        <f t="shared" si="3"/>
        <v>23.691377627118612</v>
      </c>
      <c r="I15" s="23">
        <f>+'Lokalna država-ek klas '!I11</f>
        <v>17402476.299999997</v>
      </c>
      <c r="J15" s="41">
        <f t="shared" si="4"/>
        <v>0.2937613677068503</v>
      </c>
      <c r="K15" s="23">
        <f t="shared" si="5"/>
        <v>4490897.5399999991</v>
      </c>
      <c r="L15" s="98">
        <f t="shared" si="6"/>
        <v>25.806083356079611</v>
      </c>
      <c r="M15" s="74" t="s">
        <v>160</v>
      </c>
    </row>
    <row r="16" spans="1:16357" ht="15" customHeight="1">
      <c r="A16" s="21">
        <v>7118</v>
      </c>
      <c r="B16" s="22" t="s">
        <v>60</v>
      </c>
      <c r="C16" s="23">
        <f>+'Centralna država-ek klas'!C14</f>
        <v>13740378.920000002</v>
      </c>
      <c r="D16" s="41">
        <f t="shared" si="1"/>
        <v>0.20067390280114938</v>
      </c>
      <c r="E16" s="23">
        <f>+'Centralna država-ek klas'!E14</f>
        <v>12257714.739000088</v>
      </c>
      <c r="F16" s="41">
        <f t="shared" si="0"/>
        <v>0.18504166083963719</v>
      </c>
      <c r="G16" s="23">
        <f t="shared" si="2"/>
        <v>1482664.1809999142</v>
      </c>
      <c r="H16" s="98">
        <f t="shared" si="3"/>
        <v>12.095763464641209</v>
      </c>
      <c r="I16" s="23">
        <f>+'Centralna država-ek klas'!I14</f>
        <v>12282234.720000001</v>
      </c>
      <c r="J16" s="41">
        <f t="shared" si="4"/>
        <v>0.20732946321229948</v>
      </c>
      <c r="K16" s="23">
        <f t="shared" si="5"/>
        <v>1458144.2000000011</v>
      </c>
      <c r="L16" s="98">
        <f t="shared" si="6"/>
        <v>11.871977968517442</v>
      </c>
      <c r="M16" s="74" t="s">
        <v>86</v>
      </c>
    </row>
    <row r="17" spans="1:16357" ht="15" customHeight="1">
      <c r="A17" s="18">
        <v>712</v>
      </c>
      <c r="B17" s="19" t="s">
        <v>8</v>
      </c>
      <c r="C17" s="20">
        <f>+SUM(C18:C21)</f>
        <v>575730590.25</v>
      </c>
      <c r="D17" s="40">
        <f t="shared" si="1"/>
        <v>8.4083637853181443</v>
      </c>
      <c r="E17" s="20">
        <f>+SUM(E18:E21)</f>
        <v>512225546.84560192</v>
      </c>
      <c r="F17" s="40">
        <f t="shared" si="0"/>
        <v>7.7325233888199802</v>
      </c>
      <c r="G17" s="20">
        <f t="shared" si="2"/>
        <v>63505043.404398084</v>
      </c>
      <c r="H17" s="93">
        <f t="shared" si="3"/>
        <v>12.397867266768742</v>
      </c>
      <c r="I17" s="20">
        <f>+SUM(I18:I21)</f>
        <v>462797044.29000002</v>
      </c>
      <c r="J17" s="40">
        <f t="shared" si="4"/>
        <v>7.8122153627824904</v>
      </c>
      <c r="K17" s="20">
        <f t="shared" si="5"/>
        <v>112933545.95999998</v>
      </c>
      <c r="L17" s="93">
        <f t="shared" si="6"/>
        <v>24.402391362126565</v>
      </c>
      <c r="M17" s="73" t="s">
        <v>87</v>
      </c>
    </row>
    <row r="18" spans="1:16357" ht="15" customHeight="1">
      <c r="A18" s="21">
        <v>7121</v>
      </c>
      <c r="B18" s="22" t="s">
        <v>9</v>
      </c>
      <c r="C18" s="23">
        <f>+'Centralna država-ek klas'!C16</f>
        <v>526512246.37</v>
      </c>
      <c r="D18" s="41">
        <f t="shared" si="1"/>
        <v>7.6895453878551523</v>
      </c>
      <c r="E18" s="23">
        <f>+'Centralna država-ek klas'!E16</f>
        <v>473725546.84560192</v>
      </c>
      <c r="F18" s="41">
        <f t="shared" si="0"/>
        <v>7.1513299042253813</v>
      </c>
      <c r="G18" s="23">
        <f t="shared" si="2"/>
        <v>52786699.524398088</v>
      </c>
      <c r="H18" s="98">
        <f t="shared" si="3"/>
        <v>11.142886398229763</v>
      </c>
      <c r="I18" s="23">
        <f>+'Centralna država-ek klas'!I16</f>
        <v>405895277.20999998</v>
      </c>
      <c r="J18" s="41">
        <f t="shared" si="4"/>
        <v>6.8516887897707264</v>
      </c>
      <c r="K18" s="23">
        <f t="shared" si="5"/>
        <v>120616969.16000003</v>
      </c>
      <c r="L18" s="98">
        <f t="shared" si="6"/>
        <v>29.71627804814193</v>
      </c>
      <c r="M18" s="74" t="s">
        <v>88</v>
      </c>
    </row>
    <row r="19" spans="1:16357" ht="15" customHeight="1">
      <c r="A19" s="21">
        <v>7122</v>
      </c>
      <c r="B19" s="22" t="s">
        <v>10</v>
      </c>
      <c r="C19" s="23">
        <f>+'Centralna država-ek klas'!C17</f>
        <v>7030542.8399999989</v>
      </c>
      <c r="D19" s="41">
        <f t="shared" si="1"/>
        <v>0.10267886196791115</v>
      </c>
      <c r="E19" s="23">
        <f>+'Centralna država-ek klas'!E17</f>
        <v>1500000</v>
      </c>
      <c r="F19" s="41">
        <f t="shared" si="0"/>
        <v>2.2643901997192156E-2</v>
      </c>
      <c r="G19" s="23">
        <f t="shared" si="2"/>
        <v>5530542.8399999989</v>
      </c>
      <c r="H19" s="98">
        <f t="shared" si="3"/>
        <v>368.70285599999988</v>
      </c>
      <c r="I19" s="23">
        <f>+'Centralna država-ek klas'!I17</f>
        <v>25055179.93</v>
      </c>
      <c r="J19" s="41">
        <f t="shared" si="4"/>
        <v>0.42294233288960298</v>
      </c>
      <c r="K19" s="23">
        <f t="shared" si="5"/>
        <v>-18024637.09</v>
      </c>
      <c r="L19" s="98">
        <f t="shared" si="6"/>
        <v>-71.939763116281085</v>
      </c>
      <c r="M19" s="74" t="s">
        <v>89</v>
      </c>
    </row>
    <row r="20" spans="1:16357" ht="15" customHeight="1">
      <c r="A20" s="21">
        <v>7123</v>
      </c>
      <c r="B20" s="22" t="s">
        <v>11</v>
      </c>
      <c r="C20" s="23">
        <f>+'Centralna država-ek klas'!C18</f>
        <v>24220167.09</v>
      </c>
      <c r="D20" s="41">
        <f t="shared" si="1"/>
        <v>0.35372790552171002</v>
      </c>
      <c r="E20" s="23">
        <f>+'Centralna država-ek klas'!E18</f>
        <v>22000000</v>
      </c>
      <c r="F20" s="41">
        <f t="shared" si="0"/>
        <v>0.33211056262548494</v>
      </c>
      <c r="G20" s="23">
        <f t="shared" si="2"/>
        <v>2220167.09</v>
      </c>
      <c r="H20" s="98">
        <f t="shared" si="3"/>
        <v>10.09166859090908</v>
      </c>
      <c r="I20" s="23">
        <f>+'Centralna država-ek klas'!I18</f>
        <v>18395128.239999998</v>
      </c>
      <c r="J20" s="41">
        <f t="shared" si="4"/>
        <v>0.31051776412563226</v>
      </c>
      <c r="K20" s="23">
        <f t="shared" si="5"/>
        <v>5825038.8500000015</v>
      </c>
      <c r="L20" s="98">
        <f t="shared" si="6"/>
        <v>31.666204084043954</v>
      </c>
      <c r="M20" s="74" t="s">
        <v>90</v>
      </c>
    </row>
    <row r="21" spans="1:16357" ht="15" customHeight="1">
      <c r="A21" s="21">
        <v>7124</v>
      </c>
      <c r="B21" s="22" t="s">
        <v>12</v>
      </c>
      <c r="C21" s="23">
        <f>+'Centralna država-ek klas'!C19</f>
        <v>17967633.949999999</v>
      </c>
      <c r="D21" s="41">
        <f t="shared" si="1"/>
        <v>0.26241162997336981</v>
      </c>
      <c r="E21" s="23">
        <f>+'Centralna država-ek klas'!E19</f>
        <v>15000000</v>
      </c>
      <c r="F21" s="41">
        <f t="shared" si="0"/>
        <v>0.22643901997192159</v>
      </c>
      <c r="G21" s="23">
        <f t="shared" si="2"/>
        <v>2967633.9499999993</v>
      </c>
      <c r="H21" s="98">
        <f t="shared" si="3"/>
        <v>19.784226333333322</v>
      </c>
      <c r="I21" s="23">
        <f>+'Centralna država-ek klas'!I19</f>
        <v>13451458.91</v>
      </c>
      <c r="J21" s="41">
        <f t="shared" si="4"/>
        <v>0.22706647599652802</v>
      </c>
      <c r="K21" s="23">
        <f t="shared" si="5"/>
        <v>4516175.0399999991</v>
      </c>
      <c r="L21" s="98">
        <f t="shared" si="6"/>
        <v>33.573867862337323</v>
      </c>
      <c r="M21" s="74" t="s">
        <v>91</v>
      </c>
    </row>
    <row r="22" spans="1:16357" ht="15" customHeight="1">
      <c r="A22" s="18">
        <v>713</v>
      </c>
      <c r="B22" s="19" t="s">
        <v>13</v>
      </c>
      <c r="C22" s="20">
        <f>+'Centralna država-ek klas'!C20+'Lokalna država-ek klas '!C12</f>
        <v>20308893.419999998</v>
      </c>
      <c r="D22" s="40">
        <f t="shared" si="1"/>
        <v>0.29660498650673167</v>
      </c>
      <c r="E22" s="20">
        <f>+'Centralna država-ek klas'!E20+'Lokalna država-ek klas '!E12</f>
        <v>18937095.505600002</v>
      </c>
      <c r="F22" s="40">
        <f t="shared" si="0"/>
        <v>0.2858731564935163</v>
      </c>
      <c r="G22" s="20">
        <f t="shared" si="2"/>
        <v>1371797.9143999964</v>
      </c>
      <c r="H22" s="93">
        <f t="shared" si="3"/>
        <v>7.2439720969582453</v>
      </c>
      <c r="I22" s="20">
        <f>+'Centralna država-ek klas'!I20+'Lokalna država-ek klas '!I12</f>
        <v>18822686.25</v>
      </c>
      <c r="J22" s="40">
        <f t="shared" si="4"/>
        <v>0.31773512926530606</v>
      </c>
      <c r="K22" s="20">
        <f t="shared" si="5"/>
        <v>1486207.1699999981</v>
      </c>
      <c r="L22" s="93">
        <f t="shared" si="6"/>
        <v>7.8958292682586517</v>
      </c>
      <c r="M22" s="73" t="s">
        <v>92</v>
      </c>
    </row>
    <row r="23" spans="1:16357" ht="15" customHeight="1">
      <c r="A23" s="18">
        <v>714</v>
      </c>
      <c r="B23" s="19" t="s">
        <v>19</v>
      </c>
      <c r="C23" s="20">
        <f>+'Centralna država-ek klas'!C25+'Lokalna država-ek klas '!C19</f>
        <v>134969029.48000002</v>
      </c>
      <c r="D23" s="40">
        <f t="shared" si="1"/>
        <v>1.9711801298005969</v>
      </c>
      <c r="E23" s="20">
        <f>+'Centralna država-ek klas'!E25+'Lokalna država-ek klas '!E19</f>
        <v>121262807.07175049</v>
      </c>
      <c r="F23" s="40">
        <f t="shared" si="0"/>
        <v>1.8305754128247587</v>
      </c>
      <c r="G23" s="20">
        <f t="shared" si="2"/>
        <v>13706222.408249527</v>
      </c>
      <c r="H23" s="93">
        <f t="shared" si="3"/>
        <v>11.302907081921362</v>
      </c>
      <c r="I23" s="20">
        <f>+'Centralna država-ek klas'!I25+'Lokalna država-ek klas '!I19</f>
        <v>142440325.23000002</v>
      </c>
      <c r="J23" s="40">
        <f t="shared" si="4"/>
        <v>2.4044546324808604</v>
      </c>
      <c r="K23" s="20">
        <f t="shared" si="5"/>
        <v>-7471295.75</v>
      </c>
      <c r="L23" s="93">
        <f t="shared" si="6"/>
        <v>-5.2452111001122859</v>
      </c>
      <c r="M23" s="73" t="s">
        <v>97</v>
      </c>
    </row>
    <row r="24" spans="1:16357" ht="15" customHeight="1">
      <c r="A24" s="18">
        <v>715</v>
      </c>
      <c r="B24" s="19" t="s">
        <v>26</v>
      </c>
      <c r="C24" s="20">
        <f>+'Centralna država-ek klas'!C32+'Lokalna država-ek klas '!C30</f>
        <v>198179262.21000001</v>
      </c>
      <c r="D24" s="40">
        <f t="shared" si="1"/>
        <v>2.8943456533099035</v>
      </c>
      <c r="E24" s="20">
        <f>+'Centralna država-ek klas'!E32+'Lokalna država-ek klas '!E30</f>
        <v>212940680.97400001</v>
      </c>
      <c r="F24" s="40">
        <f t="shared" si="0"/>
        <v>3.2145386074604114</v>
      </c>
      <c r="G24" s="20">
        <f t="shared" si="2"/>
        <v>-14761418.763999999</v>
      </c>
      <c r="H24" s="93">
        <f t="shared" si="3"/>
        <v>-6.932174113692426</v>
      </c>
      <c r="I24" s="20">
        <f>+'Centralna država-ek klas'!I32+'Lokalna država-ek klas '!I30</f>
        <v>52668119.570000008</v>
      </c>
      <c r="J24" s="40">
        <f t="shared" si="4"/>
        <v>0.88906076196932571</v>
      </c>
      <c r="K24" s="20">
        <f t="shared" si="5"/>
        <v>145511142.63999999</v>
      </c>
      <c r="L24" s="93">
        <f t="shared" si="6"/>
        <v>276.27935804050196</v>
      </c>
      <c r="M24" s="73" t="s">
        <v>104</v>
      </c>
    </row>
    <row r="25" spans="1:16357" ht="15" customHeight="1">
      <c r="A25" s="18">
        <v>73</v>
      </c>
      <c r="B25" s="19" t="s">
        <v>187</v>
      </c>
      <c r="C25" s="20">
        <f>+'Centralna država-ek klas'!C37+'Lokalna država-ek klas '!C35</f>
        <v>0</v>
      </c>
      <c r="D25" s="40">
        <f t="shared" si="1"/>
        <v>0</v>
      </c>
      <c r="E25" s="20">
        <f>+'Centralna država-ek klas'!E37+'Lokalna država-ek klas '!E35</f>
        <v>0</v>
      </c>
      <c r="F25" s="40">
        <f t="shared" si="0"/>
        <v>0</v>
      </c>
      <c r="G25" s="20">
        <f t="shared" si="2"/>
        <v>0</v>
      </c>
      <c r="H25" s="93">
        <f t="shared" si="3"/>
        <v>0</v>
      </c>
      <c r="I25" s="20">
        <f>+'Centralna država-ek klas'!I37+'Lokalna država-ek klas '!I35</f>
        <v>0</v>
      </c>
      <c r="J25" s="40">
        <f t="shared" si="4"/>
        <v>0</v>
      </c>
      <c r="K25" s="20">
        <f t="shared" si="5"/>
        <v>0</v>
      </c>
      <c r="L25" s="93">
        <f t="shared" si="6"/>
        <v>0</v>
      </c>
      <c r="M25" s="73" t="s">
        <v>108</v>
      </c>
    </row>
    <row r="26" spans="1:16357" ht="15" customHeight="1">
      <c r="A26" s="18">
        <v>74</v>
      </c>
      <c r="B26" s="19" t="s">
        <v>183</v>
      </c>
      <c r="C26" s="20">
        <f>+'Centralna država-ek klas'!C38+'Lokalna država-ek klas '!C36</f>
        <v>122590062.00999999</v>
      </c>
      <c r="D26" s="40">
        <f t="shared" si="1"/>
        <v>1.7903892120743354</v>
      </c>
      <c r="E26" s="20">
        <f>+'Centralna država-ek klas'!E38+'Lokalna država-ek klas '!E36</f>
        <v>120883384.58</v>
      </c>
      <c r="F26" s="40">
        <f t="shared" si="0"/>
        <v>1.8248476756789396</v>
      </c>
      <c r="G26" s="20">
        <f t="shared" si="2"/>
        <v>1706677.4299999923</v>
      </c>
      <c r="H26" s="93">
        <f t="shared" si="3"/>
        <v>1.4118378931312208</v>
      </c>
      <c r="I26" s="20">
        <f>+'Centralna država-ek klas'!I38+'Lokalna država-ek klas '!I36</f>
        <v>87432876.49000001</v>
      </c>
      <c r="J26" s="40">
        <f t="shared" si="4"/>
        <v>1.4759049768248511</v>
      </c>
      <c r="K26" s="20">
        <f t="shared" si="5"/>
        <v>35157185.519999981</v>
      </c>
      <c r="L26" s="93">
        <f t="shared" si="6"/>
        <v>40.210487097517614</v>
      </c>
      <c r="M26" s="73" t="s">
        <v>109</v>
      </c>
    </row>
    <row r="27" spans="1:16357" s="38" customFormat="1" ht="15" customHeight="1">
      <c r="A27" s="35"/>
      <c r="B27" s="36" t="s">
        <v>72</v>
      </c>
      <c r="C27" s="37">
        <f>+C28+C38+C39+C40+C41+C42+C43+C44</f>
        <v>2900055636.5299997</v>
      </c>
      <c r="D27" s="44">
        <f t="shared" si="1"/>
        <v>42.354398398421054</v>
      </c>
      <c r="E27" s="37">
        <f>+E28+E38+E39+E40+E41+E42+E43+E44</f>
        <v>2963576791.3984995</v>
      </c>
      <c r="F27" s="44">
        <f t="shared" si="0"/>
        <v>44.73796161705387</v>
      </c>
      <c r="G27" s="37">
        <f>+C27-E27</f>
        <v>-63521154.868499756</v>
      </c>
      <c r="H27" s="105">
        <f t="shared" si="3"/>
        <v>-2.1433949359052917</v>
      </c>
      <c r="I27" s="37">
        <f>+I28+I38+I39+I40+I41+I42+I43+I44</f>
        <v>2574008433.2113004</v>
      </c>
      <c r="J27" s="44">
        <f t="shared" si="4"/>
        <v>43.450381703960055</v>
      </c>
      <c r="K27" s="37">
        <f t="shared" si="5"/>
        <v>326047203.31869936</v>
      </c>
      <c r="L27" s="105">
        <f t="shared" si="6"/>
        <v>12.666905015222781</v>
      </c>
      <c r="M27" s="81" t="s">
        <v>110</v>
      </c>
      <c r="N27" s="1"/>
      <c r="O27" s="1"/>
      <c r="P27" s="86"/>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69</v>
      </c>
      <c r="C28" s="20">
        <f>+SUM(C29:C37)</f>
        <v>1196399652.3800001</v>
      </c>
      <c r="D28" s="40">
        <f t="shared" si="1"/>
        <v>17.473039786666451</v>
      </c>
      <c r="E28" s="20">
        <f>+SUM(E29:E37)</f>
        <v>1193402097.4784999</v>
      </c>
      <c r="F28" s="40">
        <f t="shared" si="0"/>
        <v>18.015520092364476</v>
      </c>
      <c r="G28" s="20">
        <f t="shared" si="2"/>
        <v>2997554.9015002251</v>
      </c>
      <c r="H28" s="93">
        <f t="shared" si="3"/>
        <v>0.25117727778707888</v>
      </c>
      <c r="I28" s="20">
        <f>+SUM(I29:I37)</f>
        <v>1027197989.6507</v>
      </c>
      <c r="J28" s="40">
        <f t="shared" si="4"/>
        <v>17.339548759823149</v>
      </c>
      <c r="K28" s="20">
        <f t="shared" si="5"/>
        <v>169201662.72930014</v>
      </c>
      <c r="L28" s="93">
        <f t="shared" si="6"/>
        <v>16.472156724804094</v>
      </c>
      <c r="M28" s="73" t="s">
        <v>111</v>
      </c>
    </row>
    <row r="29" spans="1:16357" ht="15" customHeight="1">
      <c r="A29" s="21">
        <v>411</v>
      </c>
      <c r="B29" s="22" t="s">
        <v>30</v>
      </c>
      <c r="C29" s="23">
        <f>+'Centralna država-ek klas'!C41+'Lokalna država-ek klas '!C39</f>
        <v>715082679.49000001</v>
      </c>
      <c r="D29" s="41">
        <f t="shared" si="1"/>
        <v>10.4435571212589</v>
      </c>
      <c r="E29" s="23">
        <f>+'Centralna država-ek klas'!E41+'Lokalna država-ek klas '!E39</f>
        <v>704684458.56850004</v>
      </c>
      <c r="F29" s="41">
        <f t="shared" si="0"/>
        <v>10.637870545846354</v>
      </c>
      <c r="G29" s="23">
        <f t="shared" si="2"/>
        <v>10398220.921499968</v>
      </c>
      <c r="H29" s="98">
        <f t="shared" si="3"/>
        <v>1.4755853907467866</v>
      </c>
      <c r="I29" s="23">
        <f>+'Centralna država-ek klas'!I41+'Lokalna država-ek klas '!I39</f>
        <v>599665515.18070006</v>
      </c>
      <c r="J29" s="41">
        <f t="shared" si="4"/>
        <v>10.122614671000326</v>
      </c>
      <c r="K29" s="23">
        <f t="shared" si="5"/>
        <v>115417164.30929995</v>
      </c>
      <c r="L29" s="98">
        <f t="shared" si="6"/>
        <v>19.246923724556808</v>
      </c>
      <c r="M29" s="74" t="s">
        <v>112</v>
      </c>
    </row>
    <row r="30" spans="1:16357" ht="15" customHeight="1">
      <c r="A30" s="21">
        <v>412</v>
      </c>
      <c r="B30" s="22" t="s">
        <v>31</v>
      </c>
      <c r="C30" s="23">
        <f>+'Centralna država-ek klas'!C42+'Lokalna država-ek klas '!C40</f>
        <v>23785791.959999997</v>
      </c>
      <c r="D30" s="41">
        <f t="shared" si="1"/>
        <v>0.34738399367441891</v>
      </c>
      <c r="E30" s="23">
        <f>+'Centralna država-ek klas'!E42+'Lokalna država-ek klas '!E40</f>
        <v>24512384.860000003</v>
      </c>
      <c r="F30" s="41">
        <f t="shared" si="0"/>
        <v>0.37003736032486456</v>
      </c>
      <c r="G30" s="23">
        <f t="shared" si="2"/>
        <v>-726592.90000000596</v>
      </c>
      <c r="H30" s="98">
        <f t="shared" si="3"/>
        <v>-2.9641868963377789</v>
      </c>
      <c r="I30" s="23">
        <f>+'Centralna država-ek klas'!I42+'Lokalna država-ek klas '!I40</f>
        <v>22882376.459999997</v>
      </c>
      <c r="J30" s="41">
        <f t="shared" si="4"/>
        <v>0.38626446543545273</v>
      </c>
      <c r="K30" s="23">
        <f t="shared" si="5"/>
        <v>903415.5</v>
      </c>
      <c r="L30" s="98">
        <f t="shared" si="6"/>
        <v>3.9480842454420468</v>
      </c>
      <c r="M30" s="74" t="s">
        <v>113</v>
      </c>
    </row>
    <row r="31" spans="1:16357" ht="15" customHeight="1">
      <c r="A31" s="21">
        <v>413</v>
      </c>
      <c r="B31" s="22" t="s">
        <v>73</v>
      </c>
      <c r="C31" s="23">
        <f>+'Centralna država-ek klas'!C43+'Lokalna država-ek klas '!C41</f>
        <v>55090156.800000004</v>
      </c>
      <c r="D31" s="41">
        <f t="shared" si="1"/>
        <v>0.80457437421116462</v>
      </c>
      <c r="E31" s="23">
        <f>+'Centralna država-ek klas'!E43+'Lokalna država-ek klas '!E41</f>
        <v>65355723.900000006</v>
      </c>
      <c r="F31" s="41">
        <f t="shared" si="0"/>
        <v>0.98660573796476614</v>
      </c>
      <c r="G31" s="23">
        <f t="shared" si="2"/>
        <v>-10265567.100000001</v>
      </c>
      <c r="H31" s="98">
        <f t="shared" si="3"/>
        <v>-15.707219639563959</v>
      </c>
      <c r="I31" s="23">
        <f>+'Centralna država-ek klas'!I43+'Lokalna država-ek klas '!I41</f>
        <v>46451424.819999993</v>
      </c>
      <c r="J31" s="41">
        <f t="shared" si="4"/>
        <v>0.78412025115386208</v>
      </c>
      <c r="K31" s="23">
        <f t="shared" si="5"/>
        <v>8638731.9800000116</v>
      </c>
      <c r="L31" s="98">
        <f t="shared" si="6"/>
        <v>18.597345535632613</v>
      </c>
      <c r="M31" s="74" t="s">
        <v>114</v>
      </c>
    </row>
    <row r="32" spans="1:16357" ht="15" customHeight="1">
      <c r="A32" s="21">
        <v>414</v>
      </c>
      <c r="B32" s="22" t="s">
        <v>74</v>
      </c>
      <c r="C32" s="23">
        <f>+'Centralna država-ek klas'!C44+'Lokalna država-ek klas '!C42</f>
        <v>83800836.579999998</v>
      </c>
      <c r="D32" s="41">
        <f t="shared" si="1"/>
        <v>1.2238848020437212</v>
      </c>
      <c r="E32" s="23">
        <f>+'Centralna država-ek klas'!E44+'Lokalna država-ek klas '!E42</f>
        <v>81699582.26000002</v>
      </c>
      <c r="F32" s="41">
        <f t="shared" si="0"/>
        <v>1.2333315559379863</v>
      </c>
      <c r="G32" s="23">
        <f t="shared" si="2"/>
        <v>2101254.3199999779</v>
      </c>
      <c r="H32" s="98">
        <f t="shared" si="3"/>
        <v>2.5719278628781268</v>
      </c>
      <c r="I32" s="23">
        <f>+'Centralna država-ek klas'!I44+'Lokalna država-ek klas '!I42</f>
        <v>73540337.370000005</v>
      </c>
      <c r="J32" s="41">
        <f t="shared" si="4"/>
        <v>1.2413928750722905</v>
      </c>
      <c r="K32" s="23">
        <f t="shared" si="5"/>
        <v>10260499.209999993</v>
      </c>
      <c r="L32" s="98">
        <f t="shared" si="6"/>
        <v>13.952205792008868</v>
      </c>
      <c r="M32" s="74" t="s">
        <v>115</v>
      </c>
    </row>
    <row r="33" spans="1:16357" ht="15.75" customHeight="1">
      <c r="A33" s="21">
        <v>415</v>
      </c>
      <c r="B33" s="22" t="s">
        <v>32</v>
      </c>
      <c r="C33" s="23">
        <f>+'Centralna država-ek klas'!C45+'Lokalna država-ek klas '!C43</f>
        <v>36405486.57</v>
      </c>
      <c r="D33" s="41">
        <f t="shared" si="1"/>
        <v>0.53169065539691296</v>
      </c>
      <c r="E33" s="23">
        <f>+'Centralna država-ek klas'!E45+'Lokalna država-ek klas '!E43</f>
        <v>41335684.359999999</v>
      </c>
      <c r="F33" s="41">
        <f t="shared" si="0"/>
        <v>0.62400079042313905</v>
      </c>
      <c r="G33" s="23">
        <f t="shared" si="2"/>
        <v>-4930197.7899999991</v>
      </c>
      <c r="H33" s="98">
        <f t="shared" si="3"/>
        <v>-11.927219462636714</v>
      </c>
      <c r="I33" s="23">
        <f>+'Centralna država-ek klas'!I45+'Lokalna država-ek klas '!I43</f>
        <v>34386204.439999998</v>
      </c>
      <c r="J33" s="41">
        <f t="shared" si="4"/>
        <v>0.58045408437313994</v>
      </c>
      <c r="K33" s="23">
        <f t="shared" si="5"/>
        <v>2019282.1300000027</v>
      </c>
      <c r="L33" s="98">
        <f t="shared" si="6"/>
        <v>5.8723612067258557</v>
      </c>
      <c r="M33" s="74" t="s">
        <v>116</v>
      </c>
    </row>
    <row r="34" spans="1:16357" ht="15" customHeight="1">
      <c r="A34" s="21">
        <v>416</v>
      </c>
      <c r="B34" s="22" t="s">
        <v>33</v>
      </c>
      <c r="C34" s="23">
        <f>+'Centralna država-ek klas'!C46+'Lokalna država-ek klas '!C44</f>
        <v>127679130.09999999</v>
      </c>
      <c r="D34" s="41">
        <f t="shared" si="1"/>
        <v>1.8647134473219245</v>
      </c>
      <c r="E34" s="23">
        <f>+'Centralna država-ek klas'!E46+'Lokalna država-ek klas '!E44</f>
        <v>112027809.39</v>
      </c>
      <c r="F34" s="41">
        <f t="shared" si="0"/>
        <v>1.691164491191522</v>
      </c>
      <c r="G34" s="23">
        <f t="shared" si="2"/>
        <v>15651320.709999993</v>
      </c>
      <c r="H34" s="98">
        <f t="shared" si="3"/>
        <v>13.97092453670443</v>
      </c>
      <c r="I34" s="23">
        <f>+'Centralna država-ek klas'!I46+'Lokalna država-ek klas '!I44</f>
        <v>94122450.020000011</v>
      </c>
      <c r="J34" s="41">
        <f t="shared" si="4"/>
        <v>1.5888278870860961</v>
      </c>
      <c r="K34" s="23">
        <f t="shared" si="5"/>
        <v>33556680.079999983</v>
      </c>
      <c r="L34" s="98">
        <f t="shared" si="6"/>
        <v>35.652153203480736</v>
      </c>
      <c r="M34" s="74" t="s">
        <v>117</v>
      </c>
    </row>
    <row r="35" spans="1:16357" ht="15" customHeight="1">
      <c r="A35" s="21">
        <v>417</v>
      </c>
      <c r="B35" s="22" t="s">
        <v>34</v>
      </c>
      <c r="C35" s="23">
        <f>+'Centralna država-ek klas'!C47+'Lokalna država-ek klas '!C45</f>
        <v>12410399.15</v>
      </c>
      <c r="D35" s="41">
        <f t="shared" si="1"/>
        <v>0.18124996750457639</v>
      </c>
      <c r="E35" s="23">
        <f>+'Centralna država-ek klas'!E47+'Lokalna država-ek klas '!E45</f>
        <v>12871037.409999998</v>
      </c>
      <c r="F35" s="41">
        <f t="shared" si="0"/>
        <v>0.19430033980948927</v>
      </c>
      <c r="G35" s="23">
        <f t="shared" si="2"/>
        <v>-460638.25999999791</v>
      </c>
      <c r="H35" s="98">
        <f t="shared" si="3"/>
        <v>-3.5788743776170691</v>
      </c>
      <c r="I35" s="23">
        <f>+'Centralna država-ek klas'!I47+'Lokalna država-ek klas '!I45</f>
        <v>12716703.460000001</v>
      </c>
      <c r="J35" s="41">
        <f t="shared" si="4"/>
        <v>0.2146634844796218</v>
      </c>
      <c r="K35" s="23">
        <f t="shared" si="5"/>
        <v>-306304.31000000052</v>
      </c>
      <c r="L35" s="98">
        <f t="shared" si="6"/>
        <v>-2.4086769889969588</v>
      </c>
      <c r="M35" s="74" t="s">
        <v>118</v>
      </c>
    </row>
    <row r="36" spans="1:16357" ht="15" customHeight="1">
      <c r="A36" s="21">
        <v>418</v>
      </c>
      <c r="B36" s="22" t="s">
        <v>35</v>
      </c>
      <c r="C36" s="23">
        <f>+'Centralna država-ek klas'!C48+'Lokalna država-ek klas '!C46</f>
        <v>79013250.519999996</v>
      </c>
      <c r="D36" s="41">
        <f t="shared" si="1"/>
        <v>1.153963616809291</v>
      </c>
      <c r="E36" s="23">
        <f>+'Centralna država-ek klas'!E48+'Lokalna država-ek klas '!E46</f>
        <v>75823266.960000008</v>
      </c>
      <c r="F36" s="41">
        <f t="shared" si="0"/>
        <v>1.1446230840994522</v>
      </c>
      <c r="G36" s="23">
        <f t="shared" si="2"/>
        <v>3189983.5599999875</v>
      </c>
      <c r="H36" s="98">
        <f t="shared" si="3"/>
        <v>4.207130196174262</v>
      </c>
      <c r="I36" s="23">
        <f>+'Centralna država-ek klas'!I48+'Lokalna država-ek klas '!I46</f>
        <v>72930405.040000007</v>
      </c>
      <c r="J36" s="41">
        <f t="shared" si="4"/>
        <v>1.2310969521024415</v>
      </c>
      <c r="K36" s="23">
        <f t="shared" si="5"/>
        <v>6082845.4799999893</v>
      </c>
      <c r="L36" s="98">
        <f t="shared" si="6"/>
        <v>8.3406166147901502</v>
      </c>
      <c r="M36" s="74" t="s">
        <v>119</v>
      </c>
    </row>
    <row r="37" spans="1:16357" ht="15" customHeight="1">
      <c r="A37" s="21">
        <v>419</v>
      </c>
      <c r="B37" s="22" t="s">
        <v>36</v>
      </c>
      <c r="C37" s="23">
        <f>+'Centralna država-ek klas'!C49+'Lokalna država-ek klas '!C47</f>
        <v>63131921.210000001</v>
      </c>
      <c r="D37" s="41">
        <f t="shared" si="1"/>
        <v>0.92202180844553872</v>
      </c>
      <c r="E37" s="23">
        <f>+'Centralna država-ek klas'!E49+'Lokalna država-ek klas '!E47</f>
        <v>75092149.769999996</v>
      </c>
      <c r="F37" s="41">
        <f t="shared" si="0"/>
        <v>1.1335861867669037</v>
      </c>
      <c r="G37" s="23">
        <f t="shared" si="2"/>
        <v>-11960228.559999995</v>
      </c>
      <c r="H37" s="98">
        <f t="shared" si="3"/>
        <v>-15.927401994260421</v>
      </c>
      <c r="I37" s="23">
        <f>+'Centralna država-ek klas'!I49+'Lokalna država-ek klas '!I47</f>
        <v>70502572.859999999</v>
      </c>
      <c r="J37" s="41">
        <f t="shared" si="4"/>
        <v>1.1901140891199182</v>
      </c>
      <c r="K37" s="23">
        <f t="shared" si="5"/>
        <v>-7370651.6499999985</v>
      </c>
      <c r="L37" s="98">
        <f t="shared" si="6"/>
        <v>-10.454443506106117</v>
      </c>
      <c r="M37" s="74" t="s">
        <v>120</v>
      </c>
    </row>
    <row r="38" spans="1:16357" ht="15" customHeight="1">
      <c r="A38" s="18">
        <v>42</v>
      </c>
      <c r="B38" s="19" t="s">
        <v>37</v>
      </c>
      <c r="C38" s="20">
        <f>+'Centralna država-ek klas'!C50+'Lokalna država-ek klas '!C48</f>
        <v>825825252.4799999</v>
      </c>
      <c r="D38" s="40">
        <f t="shared" si="1"/>
        <v>12.060917490833369</v>
      </c>
      <c r="E38" s="20">
        <f>+'Centralna država-ek klas'!E50+'Lokalna država-ek klas '!E48</f>
        <v>841213872.81000006</v>
      </c>
      <c r="F38" s="40">
        <f t="shared" si="0"/>
        <v>12.698909663058739</v>
      </c>
      <c r="G38" s="20">
        <f t="shared" si="2"/>
        <v>-15388620.330000162</v>
      </c>
      <c r="H38" s="93">
        <f t="shared" si="3"/>
        <v>-1.8293350629841427</v>
      </c>
      <c r="I38" s="20">
        <f>+'Centralna država-ek klas'!I50+'Lokalna država-ek klas '!I48</f>
        <v>667754783.23999989</v>
      </c>
      <c r="J38" s="40">
        <f t="shared" si="4"/>
        <v>11.271991125617779</v>
      </c>
      <c r="K38" s="20">
        <f t="shared" si="5"/>
        <v>158070469.24000001</v>
      </c>
      <c r="L38" s="93">
        <f t="shared" si="6"/>
        <v>23.671933651007237</v>
      </c>
      <c r="M38" s="73" t="s">
        <v>121</v>
      </c>
    </row>
    <row r="39" spans="1:16357" ht="15" customHeight="1">
      <c r="A39" s="18">
        <v>43</v>
      </c>
      <c r="B39" s="19" t="s">
        <v>43</v>
      </c>
      <c r="C39" s="20">
        <f>+'Centralna država-ek klas'!C56+'Lokalna država-ek klas '!C49</f>
        <v>468742079.5</v>
      </c>
      <c r="D39" s="40">
        <f t="shared" si="1"/>
        <v>6.8458303113806425</v>
      </c>
      <c r="E39" s="20">
        <f>+'Centralna država-ek klas'!E56+'Lokalna država-ek klas '!E49</f>
        <v>454155686.27999997</v>
      </c>
      <c r="F39" s="40">
        <f t="shared" si="0"/>
        <v>6.8559045677279107</v>
      </c>
      <c r="G39" s="20">
        <f t="shared" si="2"/>
        <v>14586393.220000029</v>
      </c>
      <c r="H39" s="93">
        <f t="shared" si="3"/>
        <v>3.2117605615548968</v>
      </c>
      <c r="I39" s="20">
        <f>+'Centralna država-ek klas'!I56+'Lokalna država-ek klas '!I49</f>
        <v>427460715.41999996</v>
      </c>
      <c r="J39" s="40">
        <f t="shared" si="4"/>
        <v>7.2157227648531785</v>
      </c>
      <c r="K39" s="20">
        <f t="shared" si="5"/>
        <v>41281364.080000043</v>
      </c>
      <c r="L39" s="93">
        <f t="shared" si="6"/>
        <v>9.6573468837807042</v>
      </c>
      <c r="M39" s="73" t="s">
        <v>127</v>
      </c>
    </row>
    <row r="40" spans="1:16357" ht="15" customHeight="1">
      <c r="A40" s="18">
        <v>44</v>
      </c>
      <c r="B40" s="19" t="s">
        <v>65</v>
      </c>
      <c r="C40" s="20">
        <f>+'Centralna država-ek klas'!C57+'Lokalna država-ek klas '!C50</f>
        <v>337043348.72000003</v>
      </c>
      <c r="D40" s="40">
        <f t="shared" si="1"/>
        <v>4.9224118632101863</v>
      </c>
      <c r="E40" s="20">
        <f>+'Centralna država-ek klas'!E57+'Lokalna država-ek klas '!E50</f>
        <v>337171032.35000002</v>
      </c>
      <c r="F40" s="40">
        <f t="shared" si="0"/>
        <v>5.0899118752170045</v>
      </c>
      <c r="G40" s="20">
        <f t="shared" si="2"/>
        <v>-127683.62999999523</v>
      </c>
      <c r="H40" s="93">
        <f t="shared" si="3"/>
        <v>-3.7869098394978096E-2</v>
      </c>
      <c r="I40" s="20">
        <f>+'Centralna država-ek klas'!I57+'Lokalna država-ek klas '!I50</f>
        <v>352848573.83999997</v>
      </c>
      <c r="J40" s="40">
        <f t="shared" si="4"/>
        <v>5.9562373686237953</v>
      </c>
      <c r="K40" s="20">
        <f t="shared" si="5"/>
        <v>-15805225.119999945</v>
      </c>
      <c r="L40" s="93">
        <f t="shared" si="6"/>
        <v>-4.4793223755998213</v>
      </c>
      <c r="M40" s="73" t="s">
        <v>128</v>
      </c>
      <c r="O40" s="91"/>
    </row>
    <row r="41" spans="1:16357" ht="15" customHeight="1">
      <c r="A41" s="18">
        <v>45</v>
      </c>
      <c r="B41" s="19" t="s">
        <v>44</v>
      </c>
      <c r="C41" s="20">
        <f>+'Centralna država-ek klas'!C58+'Lokalna država-ek klas '!C51</f>
        <v>0</v>
      </c>
      <c r="D41" s="40">
        <f t="shared" si="1"/>
        <v>0</v>
      </c>
      <c r="E41" s="20">
        <f>+'Centralna država-ek klas'!E58+'Lokalna država-ek klas '!E51</f>
        <v>3000000</v>
      </c>
      <c r="F41" s="40">
        <f t="shared" si="0"/>
        <v>4.5287803994384312E-2</v>
      </c>
      <c r="G41" s="20">
        <f t="shared" si="2"/>
        <v>-3000000</v>
      </c>
      <c r="H41" s="93">
        <f t="shared" si="3"/>
        <v>-100</v>
      </c>
      <c r="I41" s="20">
        <f>+'Centralna država-ek klas'!I58+'Lokalna država-ek klas '!I51</f>
        <v>2829336.03</v>
      </c>
      <c r="J41" s="40">
        <f t="shared" si="4"/>
        <v>4.7760422571302107E-2</v>
      </c>
      <c r="K41" s="20">
        <f t="shared" si="5"/>
        <v>-2829336.03</v>
      </c>
      <c r="L41" s="93">
        <f t="shared" si="6"/>
        <v>-100</v>
      </c>
      <c r="M41" s="73" t="s">
        <v>129</v>
      </c>
    </row>
    <row r="42" spans="1:16357" ht="15" customHeight="1">
      <c r="A42" s="18">
        <v>462</v>
      </c>
      <c r="B42" s="19" t="s">
        <v>45</v>
      </c>
      <c r="C42" s="20">
        <f>+'Centralna država-ek klas'!C59+'Lokalna država-ek klas '!C52</f>
        <v>2813572.16</v>
      </c>
      <c r="D42" s="40">
        <f t="shared" si="1"/>
        <v>4.1091334485545597E-2</v>
      </c>
      <c r="E42" s="20">
        <f>+'Centralna država-ek klas'!E59+'Lokalna država-ek klas '!E52</f>
        <v>2</v>
      </c>
      <c r="F42" s="40">
        <f t="shared" si="0"/>
        <v>3.0191869329589537E-8</v>
      </c>
      <c r="G42" s="20">
        <f t="shared" si="2"/>
        <v>2813570.16</v>
      </c>
      <c r="H42" s="108">
        <f t="shared" si="3"/>
        <v>140678508</v>
      </c>
      <c r="I42" s="20">
        <f>+'Centralna država-ek klas'!I59+'Lokalna država-ek klas '!I52</f>
        <v>500000</v>
      </c>
      <c r="J42" s="40">
        <f t="shared" si="4"/>
        <v>8.4402174335054345E-3</v>
      </c>
      <c r="K42" s="20">
        <f t="shared" si="5"/>
        <v>2313572.16</v>
      </c>
      <c r="L42" s="93">
        <f t="shared" si="6"/>
        <v>462.71443199999999</v>
      </c>
      <c r="M42" s="73" t="s">
        <v>130</v>
      </c>
    </row>
    <row r="43" spans="1:16357" ht="15" customHeight="1">
      <c r="A43" s="18">
        <v>463</v>
      </c>
      <c r="B43" s="19" t="s">
        <v>46</v>
      </c>
      <c r="C43" s="20">
        <f>+'Centralna država-ek klas'!C60+'Lokalna država-ek klas '!C53</f>
        <v>48151429.039999999</v>
      </c>
      <c r="D43" s="40">
        <f t="shared" si="1"/>
        <v>0.70323644254414774</v>
      </c>
      <c r="E43" s="20">
        <f>+'Centralna država-ek klas'!E60+'Lokalna država-ek klas '!E53</f>
        <v>57952555.200000003</v>
      </c>
      <c r="F43" s="40">
        <f t="shared" si="0"/>
        <v>0.87484798695711252</v>
      </c>
      <c r="G43" s="20">
        <f t="shared" si="2"/>
        <v>-9801126.1600000039</v>
      </c>
      <c r="H43" s="93">
        <f t="shared" si="3"/>
        <v>-16.912327896803419</v>
      </c>
      <c r="I43" s="20">
        <f>+'Centralna država-ek klas'!I60+'Lokalna država-ek klas '!I53</f>
        <v>67157981.170599997</v>
      </c>
      <c r="J43" s="40">
        <f t="shared" si="4"/>
        <v>1.1336559269502557</v>
      </c>
      <c r="K43" s="20">
        <f t="shared" si="5"/>
        <v>-19006552.130599998</v>
      </c>
      <c r="L43" s="93">
        <f t="shared" si="6"/>
        <v>-28.30125593310801</v>
      </c>
      <c r="M43" s="73" t="s">
        <v>131</v>
      </c>
    </row>
    <row r="44" spans="1:16357" ht="15" customHeight="1">
      <c r="A44" s="18">
        <v>47</v>
      </c>
      <c r="B44" s="19" t="s">
        <v>47</v>
      </c>
      <c r="C44" s="20">
        <f>+'Centralna država-ek klas'!C61+'Lokalna država-ek klas '!C54</f>
        <v>21080302.25</v>
      </c>
      <c r="D44" s="40">
        <f t="shared" si="1"/>
        <v>0.30787116930071895</v>
      </c>
      <c r="E44" s="20">
        <f>+'Centralna država-ek klas'!E61+'Lokalna država-ek klas '!E54</f>
        <v>76681545.280000001</v>
      </c>
      <c r="F44" s="40">
        <f t="shared" si="0"/>
        <v>1.1575795975423817</v>
      </c>
      <c r="G44" s="20">
        <f t="shared" si="2"/>
        <v>-55601243.030000001</v>
      </c>
      <c r="H44" s="93">
        <f t="shared" si="3"/>
        <v>-72.509288678226284</v>
      </c>
      <c r="I44" s="20">
        <f>+'Centralna država-ek klas'!I61+'Lokalna država-ek klas '!I54</f>
        <v>28259053.859999999</v>
      </c>
      <c r="J44" s="40">
        <f t="shared" si="4"/>
        <v>0.47702511808708215</v>
      </c>
      <c r="K44" s="20">
        <f t="shared" si="5"/>
        <v>-7178751.6099999994</v>
      </c>
      <c r="L44" s="93">
        <f t="shared" si="6"/>
        <v>-25.403368582560176</v>
      </c>
      <c r="M44" s="73" t="s">
        <v>132</v>
      </c>
      <c r="Q44" s="107"/>
    </row>
    <row r="45" spans="1:16357" s="38" customFormat="1" ht="15" customHeight="1">
      <c r="A45" s="35"/>
      <c r="B45" s="36" t="s">
        <v>77</v>
      </c>
      <c r="C45" s="37">
        <f>+C6-C27</f>
        <v>41248457.56000042</v>
      </c>
      <c r="D45" s="44">
        <f t="shared" si="1"/>
        <v>0.60242072007522618</v>
      </c>
      <c r="E45" s="37">
        <f>+E6-E27</f>
        <v>-186290719.6949935</v>
      </c>
      <c r="F45" s="44">
        <f t="shared" si="0"/>
        <v>-2.8122325331732183</v>
      </c>
      <c r="G45" s="37">
        <f>C45-E45</f>
        <v>227539177.25499392</v>
      </c>
      <c r="H45" s="105">
        <f t="shared" si="3"/>
        <v>-122.14198196643123</v>
      </c>
      <c r="I45" s="37">
        <f>+I6-I27</f>
        <v>-251715927.02129984</v>
      </c>
      <c r="J45" s="44">
        <f t="shared" si="4"/>
        <v>-4.2490743110723139</v>
      </c>
      <c r="K45" s="37">
        <f t="shared" si="5"/>
        <v>292964384.58130026</v>
      </c>
      <c r="L45" s="105">
        <f t="shared" si="6"/>
        <v>-116.38690807058468</v>
      </c>
      <c r="M45" s="81" t="s">
        <v>134</v>
      </c>
      <c r="N45" s="1"/>
      <c r="O45" s="1"/>
      <c r="P45" s="10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57</v>
      </c>
      <c r="C46" s="20">
        <f>+'Centralna država-ek klas'!C63+'Lokalna država-ek klas '!C56</f>
        <v>0</v>
      </c>
      <c r="D46" s="40">
        <f t="shared" si="1"/>
        <v>0</v>
      </c>
      <c r="E46" s="20">
        <f>+'Centralna država-ek klas'!E63+'Lokalna država-ek klas '!E56</f>
        <v>0</v>
      </c>
      <c r="F46" s="40">
        <f t="shared" si="0"/>
        <v>0</v>
      </c>
      <c r="G46" s="20">
        <f t="shared" si="2"/>
        <v>0</v>
      </c>
      <c r="H46" s="93">
        <f t="shared" si="3"/>
        <v>0</v>
      </c>
      <c r="I46" s="20">
        <f>+'Centralna država-ek klas'!I63+'Lokalna država-ek klas '!I56</f>
        <v>-30093480.059999999</v>
      </c>
      <c r="J46" s="40">
        <f t="shared" si="4"/>
        <v>-0.50799103007452029</v>
      </c>
      <c r="K46" s="20">
        <f t="shared" si="5"/>
        <v>30093480.059999999</v>
      </c>
      <c r="L46" s="93">
        <f t="shared" si="6"/>
        <v>-100</v>
      </c>
      <c r="M46" s="73" t="s">
        <v>133</v>
      </c>
    </row>
    <row r="47" spans="1:16357" s="38" customFormat="1" ht="15" hidden="1" customHeight="1">
      <c r="A47" s="35"/>
      <c r="B47" s="36" t="s">
        <v>59</v>
      </c>
      <c r="C47" s="37">
        <f>+C45-C46</f>
        <v>41248457.56000042</v>
      </c>
      <c r="D47" s="44">
        <f t="shared" si="1"/>
        <v>0.60242072007522618</v>
      </c>
      <c r="E47" s="37">
        <f>+E45-E46</f>
        <v>-186290719.6949935</v>
      </c>
      <c r="F47" s="44">
        <f t="shared" si="0"/>
        <v>-2.8122325331732183</v>
      </c>
      <c r="G47" s="37">
        <f t="shared" si="2"/>
        <v>227539177.25499392</v>
      </c>
      <c r="H47" s="105">
        <f t="shared" si="3"/>
        <v>-122.14198196643123</v>
      </c>
      <c r="I47" s="37">
        <f>+I45-I46</f>
        <v>-221622446.96129984</v>
      </c>
      <c r="J47" s="44">
        <f t="shared" si="4"/>
        <v>-3.7410832809977932</v>
      </c>
      <c r="K47" s="37">
        <f t="shared" si="5"/>
        <v>262870904.52130026</v>
      </c>
      <c r="L47" s="105">
        <f t="shared" si="6"/>
        <v>-118.61203958604577</v>
      </c>
      <c r="M47" s="81" t="s">
        <v>137</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75</v>
      </c>
      <c r="C48" s="37">
        <f>+C47+C34</f>
        <v>168927587.66000041</v>
      </c>
      <c r="D48" s="44">
        <f t="shared" si="1"/>
        <v>2.4671341673971501</v>
      </c>
      <c r="E48" s="37">
        <f>+E47+E34</f>
        <v>-74262910.304993495</v>
      </c>
      <c r="F48" s="44">
        <f t="shared" si="0"/>
        <v>-1.1210680419816961</v>
      </c>
      <c r="G48" s="37">
        <f>+C48-E48</f>
        <v>243190497.96499389</v>
      </c>
      <c r="H48" s="105">
        <f t="shared" si="3"/>
        <v>-327.47235055322307</v>
      </c>
      <c r="I48" s="37">
        <f>+I47+I34</f>
        <v>-127499996.94129983</v>
      </c>
      <c r="J48" s="44">
        <f t="shared" si="4"/>
        <v>-2.1522553939116968</v>
      </c>
      <c r="K48" s="37">
        <f t="shared" si="5"/>
        <v>296427584.60130024</v>
      </c>
      <c r="L48" s="105">
        <f t="shared" si="6"/>
        <v>-232.49222879414936</v>
      </c>
      <c r="M48" s="81" t="s">
        <v>136</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76</v>
      </c>
      <c r="C49" s="37">
        <f>+C6-(C27-C40)</f>
        <v>378291806.28000069</v>
      </c>
      <c r="D49" s="44">
        <f t="shared" si="1"/>
        <v>5.5248325832854155</v>
      </c>
      <c r="E49" s="37">
        <f>+E6-(E27-E40)</f>
        <v>150880312.65500641</v>
      </c>
      <c r="F49" s="44">
        <f t="shared" si="0"/>
        <v>2.2776793420437844</v>
      </c>
      <c r="G49" s="37">
        <f t="shared" si="2"/>
        <v>227411493.62499428</v>
      </c>
      <c r="H49" s="105">
        <f t="shared" si="3"/>
        <v>150.72310603238165</v>
      </c>
      <c r="I49" s="37">
        <f>+I6-(I27-I40)</f>
        <v>101132646.81870031</v>
      </c>
      <c r="J49" s="44">
        <f t="shared" si="4"/>
        <v>1.7071630575514849</v>
      </c>
      <c r="K49" s="37">
        <f t="shared" si="5"/>
        <v>277159159.46130037</v>
      </c>
      <c r="L49" s="105">
        <f t="shared" si="6"/>
        <v>274.05508327905369</v>
      </c>
      <c r="M49" s="81" t="s">
        <v>135</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314900745.29999995</v>
      </c>
      <c r="D50" s="44">
        <f t="shared" si="1"/>
        <v>4.5990261201866236</v>
      </c>
      <c r="E50" s="37">
        <f>+E51+E52+E53</f>
        <v>350085896.69</v>
      </c>
      <c r="F50" s="44">
        <f t="shared" si="0"/>
        <v>5.2848738234983319</v>
      </c>
      <c r="G50" s="37">
        <f t="shared" si="2"/>
        <v>-35185151.390000045</v>
      </c>
      <c r="H50" s="105">
        <f t="shared" si="3"/>
        <v>-10.050433828574484</v>
      </c>
      <c r="I50" s="37">
        <f>+I51+I52+I53</f>
        <v>303736803.43000001</v>
      </c>
      <c r="J50" s="44">
        <f t="shared" si="4"/>
        <v>5.1272093270141994</v>
      </c>
      <c r="K50" s="37">
        <f t="shared" si="5"/>
        <v>11163941.869999945</v>
      </c>
      <c r="L50" s="105">
        <f t="shared" si="6"/>
        <v>3.6755314943494426</v>
      </c>
      <c r="M50" s="81" t="s">
        <v>138</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52</v>
      </c>
      <c r="C51" s="23">
        <f>+'Centralna država-ek klas'!C68+'Lokalna država-ek klas '!C61</f>
        <v>85292053.229999989</v>
      </c>
      <c r="D51" s="41">
        <f t="shared" si="1"/>
        <v>1.2456635511466283</v>
      </c>
      <c r="E51" s="23">
        <f>+'Centralna država-ek klas'!E68+'Lokalna država-ek klas '!E61</f>
        <v>105055896.69</v>
      </c>
      <c r="F51" s="41">
        <f t="shared" si="0"/>
        <v>1.5859169525836694</v>
      </c>
      <c r="G51" s="23">
        <f t="shared" si="2"/>
        <v>-19763843.460000008</v>
      </c>
      <c r="H51" s="98">
        <f t="shared" si="3"/>
        <v>-18.812693130704844</v>
      </c>
      <c r="I51" s="23">
        <f>+'Centralna država-ek klas'!I68+'Lokalna država-ek klas '!I61</f>
        <v>49661337.449999996</v>
      </c>
      <c r="J51" s="41">
        <f t="shared" si="4"/>
        <v>0.83830497223337264</v>
      </c>
      <c r="K51" s="23">
        <f t="shared" si="5"/>
        <v>35630715.779999994</v>
      </c>
      <c r="L51" s="98">
        <f t="shared" si="6"/>
        <v>71.747394672714364</v>
      </c>
      <c r="M51" s="74" t="s">
        <v>139</v>
      </c>
    </row>
    <row r="52" spans="1:16357" ht="15" customHeight="1">
      <c r="A52" s="21">
        <v>4612</v>
      </c>
      <c r="B52" s="22" t="s">
        <v>53</v>
      </c>
      <c r="C52" s="23">
        <f>+'Centralna država-ek klas'!C69+'Lokalna država-ek klas '!C62</f>
        <v>229608692.06999996</v>
      </c>
      <c r="D52" s="41">
        <f t="shared" si="1"/>
        <v>3.3533625690399957</v>
      </c>
      <c r="E52" s="23">
        <f>+'Centralna država-ek klas'!E69+'Lokalna država-ek klas '!E62</f>
        <v>245030000</v>
      </c>
      <c r="F52" s="41">
        <f t="shared" si="0"/>
        <v>3.6989568709146625</v>
      </c>
      <c r="G52" s="23">
        <f t="shared" si="2"/>
        <v>-15421307.930000037</v>
      </c>
      <c r="H52" s="98">
        <f t="shared" si="3"/>
        <v>-6.293640750112246</v>
      </c>
      <c r="I52" s="23">
        <f>+'Centralna država-ek klas'!I69+'Lokalna država-ek klas '!I62</f>
        <v>254075465.97999999</v>
      </c>
      <c r="J52" s="41">
        <f t="shared" si="4"/>
        <v>4.2889043547808257</v>
      </c>
      <c r="K52" s="23">
        <f t="shared" si="5"/>
        <v>-24466773.910000026</v>
      </c>
      <c r="L52" s="98">
        <f t="shared" si="6"/>
        <v>-9.6297270638188905</v>
      </c>
      <c r="M52" s="74" t="s">
        <v>140</v>
      </c>
    </row>
    <row r="53" spans="1:16357" ht="15" hidden="1" customHeight="1">
      <c r="A53" s="18">
        <v>463</v>
      </c>
      <c r="B53" s="19" t="s">
        <v>46</v>
      </c>
      <c r="C53" s="20">
        <v>0</v>
      </c>
      <c r="D53" s="40">
        <f t="shared" ref="D53" si="7">+C53/$C$2*100</f>
        <v>0</v>
      </c>
      <c r="E53" s="20">
        <v>0</v>
      </c>
      <c r="F53" s="40">
        <f t="shared" ref="F53" si="8">+E53/$E$2*100</f>
        <v>0</v>
      </c>
      <c r="G53" s="20">
        <f t="shared" ref="G53" si="9">+C53-E53</f>
        <v>0</v>
      </c>
      <c r="H53" s="93">
        <f t="shared" si="3"/>
        <v>0</v>
      </c>
      <c r="I53" s="20">
        <f>+'Lokalna država-ek klas '!I63</f>
        <v>0</v>
      </c>
      <c r="J53" s="40">
        <f t="shared" ref="J53" si="10">+I53/$I$2*100</f>
        <v>0</v>
      </c>
      <c r="K53" s="20">
        <f t="shared" ref="K53" si="11">+C53-I53</f>
        <v>0</v>
      </c>
      <c r="L53" s="93">
        <f t="shared" si="6"/>
        <v>0</v>
      </c>
      <c r="M53" s="73" t="s">
        <v>131</v>
      </c>
    </row>
    <row r="54" spans="1:16357" s="38" customFormat="1" ht="15" customHeight="1">
      <c r="A54" s="35">
        <v>4418</v>
      </c>
      <c r="B54" s="36" t="s">
        <v>63</v>
      </c>
      <c r="C54" s="37">
        <f>+'Centralna država-ek klas'!C70+'Lokalna država-ek klas '!C64</f>
        <v>859046.62</v>
      </c>
      <c r="D54" s="44">
        <f t="shared" si="1"/>
        <v>1.2546105091222321E-2</v>
      </c>
      <c r="E54" s="37">
        <f>+'Centralna država-ek klas'!E70+'Lokalna država-ek klas '!E64</f>
        <v>779001</v>
      </c>
      <c r="F54" s="44">
        <f t="shared" ref="F54:F63" si="12">+E54/$E$2*100</f>
        <v>1.1759748199809791E-2</v>
      </c>
      <c r="G54" s="37">
        <f t="shared" si="2"/>
        <v>80045.62</v>
      </c>
      <c r="H54" s="105">
        <f t="shared" si="3"/>
        <v>10.275419415379446</v>
      </c>
      <c r="I54" s="37">
        <f>+'Centralna država-ek klas'!I70+'Lokalna država-ek klas '!I64</f>
        <v>27692761.82</v>
      </c>
      <c r="J54" s="44">
        <f t="shared" si="4"/>
        <v>0.46746586219015535</v>
      </c>
      <c r="K54" s="37">
        <f t="shared" si="5"/>
        <v>-26833715.199999999</v>
      </c>
      <c r="L54" s="105">
        <f t="shared" si="6"/>
        <v>-96.897938076441378</v>
      </c>
      <c r="M54" s="81" t="s">
        <v>141</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v>45</v>
      </c>
      <c r="B55" s="36" t="s">
        <v>44</v>
      </c>
      <c r="C55" s="37">
        <f>+'Centralna država-ek klas'!C71+'Lokalna država-ek klas '!C65</f>
        <v>11132551.429999998</v>
      </c>
      <c r="D55" s="44">
        <f t="shared" si="1"/>
        <v>0.1625874043648729</v>
      </c>
      <c r="E55" s="37">
        <f>+'Centralna država-ek klas'!E71+'Lokalna država-ek klas '!E65</f>
        <v>4524007</v>
      </c>
      <c r="F55" s="44">
        <f t="shared" si="12"/>
        <v>6.8294114095074188E-2</v>
      </c>
      <c r="G55" s="37">
        <f t="shared" si="2"/>
        <v>6608544.4299999978</v>
      </c>
      <c r="H55" s="105">
        <f t="shared" si="3"/>
        <v>146.07723705997796</v>
      </c>
      <c r="I55" s="37">
        <f>+'Centralna država-ek klas'!I71+'Lokalna država-ek klas '!I65</f>
        <v>23121894.739999998</v>
      </c>
      <c r="J55" s="44">
        <f t="shared" si="4"/>
        <v>0.39030763816045122</v>
      </c>
      <c r="K55" s="37">
        <f t="shared" si="5"/>
        <v>-11989343.310000001</v>
      </c>
      <c r="L55" s="105">
        <f t="shared" si="6"/>
        <v>-51.85277177678217</v>
      </c>
      <c r="M55" s="81" t="s">
        <v>129</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54</v>
      </c>
      <c r="C56" s="37">
        <f>+C47-C50-C54-C55</f>
        <v>-285643885.78999954</v>
      </c>
      <c r="D56" s="44">
        <f t="shared" si="1"/>
        <v>-4.1717389095674937</v>
      </c>
      <c r="E56" s="37">
        <f>+E47-E50-E54-E55</f>
        <v>-541679624.38499355</v>
      </c>
      <c r="F56" s="44">
        <f t="shared" si="12"/>
        <v>-8.177160218966435</v>
      </c>
      <c r="G56" s="37">
        <f t="shared" ref="G56:G63" si="13">+C56-E56</f>
        <v>256035738.59499401</v>
      </c>
      <c r="H56" s="105">
        <f t="shared" si="3"/>
        <v>-47.267005637453899</v>
      </c>
      <c r="I56" s="37">
        <f>+I47-I50-I54-I55</f>
        <v>-576173906.95129991</v>
      </c>
      <c r="J56" s="44">
        <f t="shared" si="4"/>
        <v>-9.7260661083626001</v>
      </c>
      <c r="K56" s="37">
        <f t="shared" ref="K56:K63" si="14">+C56-I56</f>
        <v>290530021.16130036</v>
      </c>
      <c r="L56" s="105">
        <f t="shared" si="6"/>
        <v>-50.424015675853383</v>
      </c>
      <c r="M56" s="81" t="s">
        <v>142</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s="38" customFormat="1" ht="15" customHeight="1">
      <c r="A57" s="35"/>
      <c r="B57" s="36" t="s">
        <v>48</v>
      </c>
      <c r="C57" s="37">
        <f>+SUM(C58:C63)+C46</f>
        <v>285643885.78999954</v>
      </c>
      <c r="D57" s="44">
        <f t="shared" ref="D57:D63" si="15">+C57/$C$2*100</f>
        <v>4.1717389095674937</v>
      </c>
      <c r="E57" s="37">
        <f>+SUM(E58:E63)+E46</f>
        <v>541679624.38499355</v>
      </c>
      <c r="F57" s="44">
        <f t="shared" si="12"/>
        <v>8.177160218966435</v>
      </c>
      <c r="G57" s="37">
        <f t="shared" si="13"/>
        <v>-256035738.59499401</v>
      </c>
      <c r="H57" s="105">
        <f t="shared" si="3"/>
        <v>-47.267005637453899</v>
      </c>
      <c r="I57" s="37">
        <f>+SUM(I58:I63)+I46</f>
        <v>576173906.95129991</v>
      </c>
      <c r="J57" s="44">
        <f t="shared" ref="J57:J63" si="16">+I57/$I$2*100</f>
        <v>9.7260661083626001</v>
      </c>
      <c r="K57" s="37">
        <f t="shared" si="14"/>
        <v>-290530021.16130036</v>
      </c>
      <c r="L57" s="105">
        <f t="shared" si="6"/>
        <v>-50.424015675853383</v>
      </c>
      <c r="M57" s="81" t="s">
        <v>143</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row>
    <row r="58" spans="1:16357">
      <c r="A58" s="21">
        <v>7511</v>
      </c>
      <c r="B58" s="22" t="s">
        <v>55</v>
      </c>
      <c r="C58" s="23">
        <f>+'Centralna država-ek klas'!C74+'Lokalna država-ek klas '!C68</f>
        <v>161977633.08000001</v>
      </c>
      <c r="D58" s="41">
        <f t="shared" si="15"/>
        <v>2.365632271563014</v>
      </c>
      <c r="E58" s="23">
        <f>+'Centralna država-ek klas'!E74+'Lokalna država-ek klas '!E68</f>
        <v>105000000</v>
      </c>
      <c r="F58" s="41">
        <f t="shared" si="12"/>
        <v>1.5850731398034508</v>
      </c>
      <c r="G58" s="23">
        <f t="shared" si="13"/>
        <v>56977633.080000013</v>
      </c>
      <c r="H58" s="98">
        <f t="shared" si="3"/>
        <v>54.264412457142868</v>
      </c>
      <c r="I58" s="23">
        <f>+'Centralna država-ek klas'!I74+'Lokalna država-ek klas '!I68</f>
        <v>114199752.47</v>
      </c>
      <c r="J58" s="41">
        <f t="shared" si="16"/>
        <v>1.9277414833985989</v>
      </c>
      <c r="K58" s="23">
        <f t="shared" si="14"/>
        <v>47777880.610000014</v>
      </c>
      <c r="L58" s="98">
        <f t="shared" si="6"/>
        <v>41.837113983720002</v>
      </c>
      <c r="M58" s="74" t="s">
        <v>144</v>
      </c>
    </row>
    <row r="59" spans="1:16357" ht="15" customHeight="1">
      <c r="A59" s="21">
        <v>7512</v>
      </c>
      <c r="B59" s="22" t="s">
        <v>49</v>
      </c>
      <c r="C59" s="23">
        <f>+'Centralna država-ek klas'!C75+'Lokalna država-ek klas '!C69</f>
        <v>160671344.28</v>
      </c>
      <c r="D59" s="41">
        <f t="shared" si="15"/>
        <v>2.3465543354152798</v>
      </c>
      <c r="E59" s="23">
        <f>+'Centralna država-ek klas'!E75+'Lokalna država-ek klas '!E69</f>
        <v>402953820.38499451</v>
      </c>
      <c r="F59" s="41">
        <f t="shared" si="12"/>
        <v>6.0829645454613246</v>
      </c>
      <c r="G59" s="23">
        <f t="shared" si="13"/>
        <v>-242282476.10499451</v>
      </c>
      <c r="H59" s="98">
        <f t="shared" si="3"/>
        <v>-60.126611003094688</v>
      </c>
      <c r="I59" s="23">
        <f>+'Centralna država-ek klas'!I75+'Lokalna država-ek klas '!I69</f>
        <v>113634003.34</v>
      </c>
      <c r="J59" s="41">
        <f t="shared" si="16"/>
        <v>1.9181913920585658</v>
      </c>
      <c r="K59" s="23">
        <f t="shared" si="14"/>
        <v>47037340.939999998</v>
      </c>
      <c r="L59" s="98">
        <f t="shared" si="6"/>
        <v>41.393719799927624</v>
      </c>
      <c r="M59" s="74" t="s">
        <v>145</v>
      </c>
    </row>
    <row r="60" spans="1:16357" ht="15" customHeight="1">
      <c r="A60" s="18">
        <v>72</v>
      </c>
      <c r="B60" s="19" t="s">
        <v>172</v>
      </c>
      <c r="C60" s="20">
        <f>+'Centralna država-ek klas'!C76+'Lokalna država-ek klas '!C70</f>
        <v>9561802.1699999999</v>
      </c>
      <c r="D60" s="40">
        <f t="shared" si="15"/>
        <v>0.13964710656366666</v>
      </c>
      <c r="E60" s="20">
        <f>+'Centralna država-ek klas'!E76+'Lokalna država-ek klas '!E70</f>
        <v>13000000</v>
      </c>
      <c r="F60" s="40">
        <f t="shared" si="12"/>
        <v>0.19624715064233203</v>
      </c>
      <c r="G60" s="20">
        <f t="shared" si="13"/>
        <v>-3438197.83</v>
      </c>
      <c r="H60" s="93">
        <f t="shared" si="3"/>
        <v>-26.447675615384611</v>
      </c>
      <c r="I60" s="20">
        <f>+'Centralna država-ek klas'!I76+'Lokalna država-ek klas '!I70</f>
        <v>25234965.620000001</v>
      </c>
      <c r="J60" s="40">
        <f t="shared" si="16"/>
        <v>0.42597719351966856</v>
      </c>
      <c r="K60" s="20">
        <f t="shared" si="14"/>
        <v>-15673163.450000001</v>
      </c>
      <c r="L60" s="93">
        <f t="shared" si="6"/>
        <v>-62.108915407351368</v>
      </c>
      <c r="M60" s="73" t="s">
        <v>146</v>
      </c>
    </row>
    <row r="61" spans="1:16357" ht="15" customHeight="1">
      <c r="A61" s="28">
        <v>73</v>
      </c>
      <c r="B61" s="19" t="s">
        <v>187</v>
      </c>
      <c r="C61" s="20">
        <f>+'Centralna država-ek klas'!C77+'Lokalna država-ek klas '!C71</f>
        <v>14100869.479999999</v>
      </c>
      <c r="D61" s="40">
        <f t="shared" si="15"/>
        <v>0.20593875379393195</v>
      </c>
      <c r="E61" s="20">
        <f>+'Centralna država-ek klas'!E77+'Lokalna država-ek klas '!E71</f>
        <v>10047904</v>
      </c>
      <c r="F61" s="40">
        <f t="shared" si="12"/>
        <v>0.15168250230213004</v>
      </c>
      <c r="G61" s="20">
        <f t="shared" si="13"/>
        <v>4052965.4799999986</v>
      </c>
      <c r="H61" s="93">
        <f t="shared" si="3"/>
        <v>40.336427179240559</v>
      </c>
      <c r="I61" s="20">
        <f>+'Centralna država-ek klas'!I77+'Lokalna država-ek klas '!I71</f>
        <v>15314054.850000001</v>
      </c>
      <c r="J61" s="40">
        <f t="shared" si="16"/>
        <v>0.25850790544525692</v>
      </c>
      <c r="K61" s="20">
        <f t="shared" si="14"/>
        <v>-1213185.3700000029</v>
      </c>
      <c r="L61" s="93">
        <f t="shared" si="6"/>
        <v>-7.9220388191309326</v>
      </c>
      <c r="M61" s="73" t="s">
        <v>108</v>
      </c>
    </row>
    <row r="62" spans="1:16357" ht="15" customHeight="1">
      <c r="A62" s="28"/>
      <c r="B62" s="29" t="s">
        <v>152</v>
      </c>
      <c r="C62" s="30">
        <f>+'Lokalna država-ek klas '!C72</f>
        <v>19547081.560000002</v>
      </c>
      <c r="D62" s="40">
        <f t="shared" si="15"/>
        <v>0.28547896443437959</v>
      </c>
      <c r="E62" s="30">
        <f>+'Lokalna država-ek klas '!E72</f>
        <v>15000000</v>
      </c>
      <c r="F62" s="40">
        <f t="shared" si="12"/>
        <v>0.22643901997192159</v>
      </c>
      <c r="G62" s="20">
        <f t="shared" si="13"/>
        <v>4547081.5600000024</v>
      </c>
      <c r="H62" s="93">
        <f t="shared" si="3"/>
        <v>30.313877066666691</v>
      </c>
      <c r="I62" s="30">
        <f>+'Lokalna država-ek klas '!I72</f>
        <v>7074339.3700000001</v>
      </c>
      <c r="J62" s="40">
        <f t="shared" si="16"/>
        <v>0.11941792496241571</v>
      </c>
      <c r="K62" s="20">
        <f t="shared" si="14"/>
        <v>12472742.190000001</v>
      </c>
      <c r="L62" s="93">
        <f t="shared" si="6"/>
        <v>176.30963878963587</v>
      </c>
      <c r="M62" s="76" t="s">
        <v>153</v>
      </c>
    </row>
    <row r="63" spans="1:16357" ht="15" customHeight="1" thickBot="1">
      <c r="A63" s="24"/>
      <c r="B63" s="25" t="s">
        <v>50</v>
      </c>
      <c r="C63" s="26">
        <f>+-C56-(SUM(C58:C62)+C46)</f>
        <v>-80214844.780000508</v>
      </c>
      <c r="D63" s="42">
        <f t="shared" si="15"/>
        <v>-1.1715125222027796</v>
      </c>
      <c r="E63" s="26">
        <f>+-E56-(SUM(E58:E62)+E46)</f>
        <v>-4322100.0000009537</v>
      </c>
      <c r="F63" s="42">
        <f t="shared" si="12"/>
        <v>-6.5246139214723872E-2</v>
      </c>
      <c r="G63" s="26">
        <f t="shared" si="13"/>
        <v>-75892744.779999554</v>
      </c>
      <c r="H63" s="99">
        <f t="shared" si="3"/>
        <v>1755.9229258921082</v>
      </c>
      <c r="I63" s="26">
        <f>+-I56-(SUM(I58:I62)+I46)</f>
        <v>330810271.36129993</v>
      </c>
      <c r="J63" s="42">
        <f t="shared" si="16"/>
        <v>5.5842212390526145</v>
      </c>
      <c r="K63" s="26">
        <f t="shared" si="14"/>
        <v>-411025116.14130044</v>
      </c>
      <c r="L63" s="99">
        <f t="shared" si="6"/>
        <v>-124.24799098586408</v>
      </c>
      <c r="M63" s="77" t="s">
        <v>147</v>
      </c>
    </row>
    <row r="64" spans="1:16357" ht="13.5" customHeight="1"/>
  </sheetData>
  <sheetProtection algorithmName="SHA-512" hashValue="zka4I3ZteXFDGm95Iu+kp0xStITS0OVdYkd8Fl5GcJbMb5Iq5PFA1Cc91Ovyo5SrNLX88+EY52WfyMj50VqvJA==" saltValue="NTtioSEbPyUAGyPZPqxQ5g=="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15"/>
      <c r="C4" s="115" t="s">
        <v>174</v>
      </c>
      <c r="D4" s="125" t="s">
        <v>175</v>
      </c>
    </row>
    <row r="5" spans="2:4">
      <c r="B5" s="116"/>
      <c r="C5" s="116"/>
      <c r="D5" s="126"/>
    </row>
    <row r="6" spans="2:4" ht="13.5">
      <c r="B6" s="22" t="s">
        <v>178</v>
      </c>
      <c r="C6" s="23">
        <v>51122438.960000001</v>
      </c>
      <c r="D6" s="23">
        <v>50118940.61699906</v>
      </c>
    </row>
    <row r="7" spans="2:4" ht="13.5">
      <c r="B7" s="22" t="s">
        <v>177</v>
      </c>
      <c r="C7" s="23">
        <v>59697131.339999996</v>
      </c>
      <c r="D7" s="23">
        <v>57763326.64507816</v>
      </c>
    </row>
    <row r="8" spans="2:4" ht="13.5">
      <c r="B8" s="22" t="s">
        <v>176</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Bojan Paunovic</cp:lastModifiedBy>
  <cp:lastPrinted>2021-05-19T06:53:11Z</cp:lastPrinted>
  <dcterms:created xsi:type="dcterms:W3CDTF">2008-03-17T08:49:23Z</dcterms:created>
  <dcterms:modified xsi:type="dcterms:W3CDTF">2024-03-31T09:46:24Z</dcterms:modified>
</cp:coreProperties>
</file>